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Transpot\"/>
    </mc:Choice>
  </mc:AlternateContent>
  <xr:revisionPtr revIDLastSave="0" documentId="13_ncr:1_{FDA888E5-094C-4CBA-8E77-D573263C9799}" xr6:coauthVersionLast="47" xr6:coauthVersionMax="47" xr10:uidLastSave="{00000000-0000-0000-0000-000000000000}"/>
  <bookViews>
    <workbookView xWindow="-120" yWindow="-120" windowWidth="29040" windowHeight="15720" tabRatio="750" firstSheet="1" activeTab="1" xr2:uid="{00000000-000D-0000-FFFF-FFFF00000000}"/>
  </bookViews>
  <sheets>
    <sheet name="11.15" sheetId="4" state="hidden" r:id="rId1"/>
    <sheet name="11.16 " sheetId="17" r:id="rId2"/>
  </sheets>
  <externalReferences>
    <externalReference r:id="rId3"/>
    <externalReference r:id="rId4"/>
  </externalReferences>
  <definedNames>
    <definedName name="_xlnm.Print_Area" localSheetId="1">'11.16 '!$A$1:$CK$45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J26" i="17" l="1"/>
  <c r="CJ7" i="17"/>
  <c r="CI26" i="17"/>
  <c r="CH26" i="17"/>
  <c r="CG26" i="17"/>
  <c r="CI7" i="17"/>
  <c r="CH7" i="17"/>
  <c r="CG7" i="17"/>
  <c r="CF26" i="17"/>
  <c r="CE26" i="17"/>
  <c r="CD26" i="17"/>
  <c r="CF7" i="17"/>
  <c r="CE7" i="17"/>
  <c r="CD7" i="17"/>
  <c r="CB26" i="17"/>
  <c r="CA26" i="17"/>
  <c r="BZ26" i="17"/>
  <c r="CB7" i="17"/>
  <c r="CA7" i="17"/>
  <c r="BZ7" i="17"/>
  <c r="BY26" i="17"/>
  <c r="BX26" i="17"/>
  <c r="BW26" i="17"/>
  <c r="BY7" i="17"/>
  <c r="BX7" i="17"/>
  <c r="BW7" i="17"/>
  <c r="BV26" i="17" l="1"/>
  <c r="BU26" i="17"/>
  <c r="BN26" i="17"/>
  <c r="BM26" i="17"/>
  <c r="BF26" i="17"/>
  <c r="BE26" i="17"/>
  <c r="AX26" i="17"/>
  <c r="AW26" i="17"/>
  <c r="AP26" i="17"/>
  <c r="AO26" i="17"/>
  <c r="AH26" i="17"/>
  <c r="AG26" i="17"/>
  <c r="Z26" i="17"/>
  <c r="Y26" i="17"/>
  <c r="J26" i="17"/>
  <c r="I26" i="17"/>
  <c r="Q26" i="17"/>
  <c r="R26" i="17"/>
  <c r="BT26" i="17"/>
  <c r="BL26" i="17"/>
  <c r="BD26" i="17"/>
  <c r="AV26" i="17"/>
  <c r="AN26" i="17"/>
  <c r="AF26" i="17"/>
  <c r="X26" i="17"/>
  <c r="P26" i="17"/>
  <c r="H26" i="17"/>
  <c r="BV7" i="17"/>
  <c r="BU7" i="17"/>
  <c r="BN7" i="17"/>
  <c r="BM7" i="17"/>
  <c r="BF7" i="17"/>
  <c r="BE7" i="17"/>
  <c r="AX7" i="17"/>
  <c r="AW7" i="17"/>
  <c r="AP7" i="17"/>
  <c r="AO7" i="17"/>
  <c r="AG7" i="17"/>
  <c r="BT7" i="17"/>
  <c r="BL7" i="17"/>
  <c r="BD7" i="17"/>
  <c r="AV7" i="17"/>
  <c r="AN7" i="17"/>
  <c r="AF7" i="17"/>
  <c r="X7" i="17"/>
  <c r="Y7" i="17"/>
  <c r="Q7" i="17"/>
  <c r="P7" i="17"/>
  <c r="I7" i="17"/>
  <c r="H7" i="17"/>
  <c r="BK37" i="17" l="1"/>
  <c r="BK36" i="17"/>
  <c r="BK35" i="17"/>
  <c r="BK34" i="17"/>
  <c r="BK33" i="17"/>
  <c r="BK32" i="17"/>
  <c r="BK31" i="17"/>
  <c r="AU37" i="17"/>
  <c r="AU36" i="17"/>
  <c r="AU34" i="17"/>
  <c r="AU33" i="17"/>
  <c r="AU32" i="17"/>
  <c r="AU31" i="17"/>
  <c r="AU30" i="17"/>
  <c r="AU29" i="17"/>
  <c r="AU28" i="17"/>
  <c r="AU27" i="17"/>
  <c r="AT37" i="17"/>
  <c r="AT36" i="17"/>
  <c r="AT32" i="17"/>
  <c r="AT31" i="17"/>
  <c r="AT30" i="17"/>
  <c r="AT29" i="17"/>
  <c r="AT28" i="17"/>
  <c r="AT27" i="17"/>
  <c r="AS38" i="17"/>
  <c r="AS37" i="17"/>
  <c r="AS36" i="17"/>
  <c r="AS35" i="17"/>
  <c r="AS34" i="17"/>
  <c r="AS33" i="17"/>
  <c r="AS32" i="17"/>
  <c r="AS31" i="17"/>
  <c r="AS30" i="17"/>
  <c r="AS29" i="17"/>
  <c r="AS28" i="17"/>
  <c r="AS27" i="17"/>
  <c r="AR38" i="17"/>
  <c r="AR37" i="17"/>
  <c r="AR36" i="17"/>
  <c r="AR35" i="17"/>
  <c r="AR34" i="17"/>
  <c r="AR33" i="17"/>
  <c r="AR32" i="17"/>
  <c r="AR31" i="17"/>
  <c r="AR30" i="17"/>
  <c r="AR29" i="17"/>
  <c r="AR28" i="17"/>
  <c r="AR27" i="17"/>
  <c r="AQ38" i="17"/>
  <c r="AQ37" i="17"/>
  <c r="AQ36" i="17"/>
  <c r="AQ34" i="17"/>
  <c r="AQ33" i="17"/>
  <c r="AQ32" i="17"/>
  <c r="AQ31" i="17"/>
  <c r="AQ29" i="17"/>
  <c r="AQ28" i="17"/>
  <c r="AQ27" i="17"/>
  <c r="W38" i="17"/>
  <c r="W37" i="17"/>
  <c r="W36" i="17"/>
  <c r="W35" i="17"/>
  <c r="W34" i="17"/>
  <c r="W33" i="17"/>
  <c r="W32" i="17"/>
  <c r="W31" i="17"/>
  <c r="W30" i="17"/>
  <c r="W29" i="17"/>
  <c r="W28" i="17"/>
  <c r="W27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U38" i="17"/>
  <c r="U37" i="17"/>
  <c r="U36" i="17"/>
  <c r="U35" i="17"/>
  <c r="U34" i="17"/>
  <c r="U33" i="17"/>
  <c r="U32" i="17"/>
  <c r="U31" i="17"/>
  <c r="U30" i="17"/>
  <c r="U29" i="17"/>
  <c r="U28" i="17"/>
  <c r="U27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S38" i="17"/>
  <c r="S37" i="17"/>
  <c r="S36" i="17"/>
  <c r="S35" i="17"/>
  <c r="S34" i="17"/>
  <c r="S33" i="17"/>
  <c r="S31" i="17"/>
  <c r="S30" i="17"/>
  <c r="S29" i="17"/>
  <c r="S28" i="17"/>
  <c r="BK18" i="17"/>
  <c r="BK17" i="17"/>
  <c r="BK16" i="17"/>
  <c r="BK15" i="17"/>
  <c r="BK14" i="17"/>
  <c r="BK13" i="17"/>
  <c r="BK12" i="17"/>
  <c r="AU18" i="17"/>
  <c r="AU17" i="17"/>
  <c r="AU16" i="17"/>
  <c r="AU15" i="17"/>
  <c r="AU14" i="17"/>
  <c r="AU13" i="17"/>
  <c r="AU12" i="17"/>
  <c r="AU11" i="17"/>
  <c r="AU10" i="17"/>
  <c r="AU9" i="17"/>
  <c r="AU8" i="17"/>
  <c r="AT17" i="17"/>
  <c r="AT13" i="17"/>
  <c r="AT12" i="17"/>
  <c r="AT11" i="17"/>
  <c r="AT10" i="17"/>
  <c r="AT9" i="17"/>
  <c r="AT8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R19" i="17"/>
  <c r="AR18" i="17"/>
  <c r="AR17" i="17"/>
  <c r="AR16" i="17"/>
  <c r="AR15" i="17"/>
  <c r="AR14" i="17"/>
  <c r="AR13" i="17"/>
  <c r="AR12" i="17"/>
  <c r="AR11" i="17"/>
  <c r="AR10" i="17"/>
  <c r="AR9" i="17"/>
  <c r="AR8" i="17"/>
  <c r="AQ19" i="17"/>
  <c r="AQ18" i="17"/>
  <c r="AQ17" i="17"/>
  <c r="AQ15" i="17"/>
  <c r="AQ13" i="17"/>
  <c r="AQ12" i="17"/>
  <c r="AQ10" i="17"/>
  <c r="AQ9" i="17"/>
  <c r="AQ8" i="17"/>
  <c r="W19" i="17"/>
  <c r="W18" i="17"/>
  <c r="W17" i="17"/>
  <c r="W16" i="17"/>
  <c r="W15" i="17"/>
  <c r="W14" i="17"/>
  <c r="W13" i="17"/>
  <c r="W12" i="17"/>
  <c r="W11" i="17"/>
  <c r="W10" i="17"/>
  <c r="W9" i="17"/>
  <c r="W8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S19" i="17"/>
  <c r="S18" i="17"/>
  <c r="S17" i="17"/>
  <c r="S16" i="17"/>
  <c r="S15" i="17"/>
  <c r="S14" i="17"/>
  <c r="S12" i="17"/>
  <c r="S11" i="17"/>
  <c r="S10" i="17"/>
  <c r="S9" i="17"/>
  <c r="C38" i="17"/>
  <c r="C37" i="17"/>
  <c r="C36" i="17"/>
  <c r="C35" i="17"/>
  <c r="BS26" i="17"/>
  <c r="BR26" i="17"/>
  <c r="BJ26" i="17"/>
  <c r="BI26" i="17"/>
  <c r="BC26" i="17"/>
  <c r="BB26" i="17"/>
  <c r="BA26" i="17"/>
  <c r="AZ26" i="17"/>
  <c r="AY26" i="17"/>
  <c r="AM26" i="17"/>
  <c r="AL26" i="17"/>
  <c r="AK26" i="17"/>
  <c r="AJ26" i="17"/>
  <c r="AI26" i="17"/>
  <c r="AE26" i="17"/>
  <c r="AD26" i="17"/>
  <c r="AC26" i="17"/>
  <c r="AB26" i="17"/>
  <c r="AA26" i="17"/>
  <c r="O26" i="17"/>
  <c r="N26" i="17"/>
  <c r="M26" i="17"/>
  <c r="L26" i="17"/>
  <c r="K26" i="17"/>
  <c r="G26" i="17"/>
  <c r="F26" i="17"/>
  <c r="E26" i="17"/>
  <c r="D26" i="17"/>
  <c r="C19" i="17"/>
  <c r="C18" i="17"/>
  <c r="C17" i="17"/>
  <c r="C16" i="17"/>
  <c r="BS7" i="17"/>
  <c r="BR7" i="17"/>
  <c r="BJ7" i="17"/>
  <c r="BI7" i="17"/>
  <c r="BC7" i="17"/>
  <c r="BB7" i="17"/>
  <c r="BA7" i="17"/>
  <c r="AZ7" i="17"/>
  <c r="AY7" i="17"/>
  <c r="AM7" i="17"/>
  <c r="AL7" i="17"/>
  <c r="AK7" i="17"/>
  <c r="AJ7" i="17"/>
  <c r="AI7" i="17"/>
  <c r="AE7" i="17"/>
  <c r="AD7" i="17"/>
  <c r="AC7" i="17"/>
  <c r="AB7" i="17"/>
  <c r="AA7" i="17"/>
  <c r="R7" i="17"/>
  <c r="O7" i="17"/>
  <c r="N7" i="17"/>
  <c r="M7" i="17"/>
  <c r="L7" i="17"/>
  <c r="K7" i="17"/>
  <c r="G7" i="17"/>
  <c r="F7" i="17"/>
  <c r="E7" i="17"/>
  <c r="D7" i="17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K26" i="17" l="1"/>
  <c r="AQ26" i="17"/>
  <c r="V26" i="17"/>
  <c r="S26" i="17"/>
  <c r="AR26" i="17"/>
  <c r="AT26" i="17"/>
  <c r="AU26" i="17"/>
  <c r="T26" i="17"/>
  <c r="U26" i="17"/>
  <c r="AS26" i="17"/>
  <c r="W26" i="17"/>
  <c r="W7" i="17"/>
  <c r="AH7" i="17"/>
  <c r="AR7" i="17"/>
  <c r="AU7" i="17"/>
  <c r="BK7" i="17"/>
  <c r="V7" i="17"/>
  <c r="S7" i="17"/>
  <c r="T7" i="17"/>
  <c r="AQ7" i="17"/>
  <c r="AT7" i="17"/>
  <c r="C7" i="17"/>
  <c r="U7" i="17"/>
  <c r="Z7" i="17"/>
  <c r="AS7" i="17"/>
  <c r="C26" i="17"/>
  <c r="J7" i="17"/>
  <c r="AO22" i="4" l="1"/>
  <c r="AO23" i="4"/>
  <c r="AO24" i="4"/>
  <c r="AO25" i="4"/>
  <c r="AO26" i="4"/>
  <c r="AO27" i="4"/>
  <c r="AO29" i="4"/>
  <c r="AO30" i="4"/>
  <c r="AA8" i="4" l="1"/>
  <c r="AQ30" i="4" s="1"/>
  <c r="Z8" i="4"/>
  <c r="AP30" i="4" s="1"/>
  <c r="X8" i="4"/>
  <c r="AQ29" i="4" s="1"/>
  <c r="W8" i="4"/>
  <c r="AP29" i="4" s="1"/>
  <c r="U8" i="4"/>
  <c r="AQ28" i="4" s="1"/>
  <c r="T8" i="4"/>
  <c r="AP28" i="4" s="1"/>
  <c r="R8" i="4"/>
  <c r="AQ27" i="4" s="1"/>
  <c r="Q8" i="4"/>
  <c r="AP27" i="4" s="1"/>
  <c r="O8" i="4"/>
  <c r="AQ26" i="4" s="1"/>
  <c r="N8" i="4"/>
  <c r="AP26" i="4" s="1"/>
  <c r="L8" i="4"/>
  <c r="AQ25" i="4" s="1"/>
  <c r="K8" i="4"/>
  <c r="AP25" i="4" s="1"/>
  <c r="I8" i="4"/>
  <c r="AQ24" i="4" s="1"/>
  <c r="H8" i="4"/>
  <c r="AP24" i="4" s="1"/>
  <c r="F8" i="4"/>
  <c r="AQ23" i="4" s="1"/>
  <c r="E8" i="4"/>
  <c r="AP23" i="4" s="1"/>
  <c r="C8" i="4"/>
  <c r="AQ22" i="4" s="1"/>
  <c r="B8" i="4"/>
  <c r="AP22" i="4" l="1"/>
  <c r="AP32" i="4" s="1"/>
  <c r="AQ32" i="4"/>
  <c r="AR32" i="4" l="1"/>
</calcChain>
</file>

<file path=xl/sharedStrings.xml><?xml version="1.0" encoding="utf-8"?>
<sst xmlns="http://schemas.openxmlformats.org/spreadsheetml/2006/main" count="474" uniqueCount="96">
  <si>
    <t>iawa</t>
  </si>
  <si>
    <t>iruf</t>
  </si>
  <si>
    <t>In</t>
  </si>
  <si>
    <t>Out</t>
  </si>
  <si>
    <t>Total</t>
  </si>
  <si>
    <t>wlcmuj</t>
  </si>
  <si>
    <t>Source: Civil Aviation Authority</t>
  </si>
  <si>
    <t>މައުލޫމާތު ދެއްވީ: ސިވިލް އޭވިއޭޝަން އޮތޯރިޓީ</t>
  </si>
  <si>
    <t>Month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</si>
  <si>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</si>
  <si>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</si>
  <si>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</si>
  <si>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</si>
  <si>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</si>
  <si>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</si>
  <si>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</si>
  <si>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</si>
  <si>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</si>
  <si>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</si>
  <si>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</si>
  <si>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</si>
  <si>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</si>
  <si>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</si>
  <si>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</si>
  <si>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</si>
  <si>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</si>
  <si>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</si>
  <si>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</si>
  <si>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</si>
  <si>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</si>
  <si>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</si>
  <si>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</si>
  <si>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</si>
  <si>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</si>
  <si>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</si>
  <si>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</si>
  <si>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</si>
  <si>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</si>
  <si>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</si>
  <si>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</si>
  <si>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</si>
  <si>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</si>
  <si>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ދ.ކުޑަހުވަދޫ</t>
  </si>
  <si>
    <t>L.Kadhdhoo</t>
  </si>
  <si>
    <t>GDh.Kaadedhdhoo</t>
  </si>
  <si>
    <t xml:space="preserve">Gn.Fuvahmulah </t>
  </si>
  <si>
    <t>ADh.Maamigili</t>
  </si>
  <si>
    <t>B.Dharavandhoo</t>
  </si>
  <si>
    <t>GA. Koodoo</t>
  </si>
  <si>
    <t xml:space="preserve">Th. Thimarafushi  </t>
  </si>
  <si>
    <t xml:space="preserve">R.Ifuru  </t>
  </si>
  <si>
    <t>Dh.kudahuvadhoo</t>
  </si>
  <si>
    <t xml:space="preserve">THA. Thimarafushi  </t>
  </si>
  <si>
    <t>_</t>
  </si>
  <si>
    <t>-</t>
  </si>
  <si>
    <t>1_/ Started operation in October 2011</t>
  </si>
  <si>
    <t>2_/ Started operation in October 2012</t>
  </si>
  <si>
    <t>3_/ Started operation in January 2013</t>
  </si>
  <si>
    <t>4_/ Started operation in January 2014</t>
  </si>
  <si>
    <t>5_/ Started operation in May 2015</t>
  </si>
  <si>
    <t>6_/ Started operation in October 2017</t>
  </si>
  <si>
    <r>
      <t xml:space="preserve">Gn.Fuvahmulah </t>
    </r>
    <r>
      <rPr>
        <b/>
        <vertAlign val="superscript"/>
        <sz val="11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</si>
  <si>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11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</si>
  <si>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11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</si>
  <si>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11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</si>
  <si>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11"/>
        <rFont val="Calibri"/>
        <family val="2"/>
        <scheme val="minor"/>
      </rPr>
      <t xml:space="preserve">4_/ </t>
    </r>
  </si>
  <si>
    <r>
      <t xml:space="preserve">Raa.Ifuru </t>
    </r>
    <r>
      <rPr>
        <b/>
        <vertAlign val="superscript"/>
        <sz val="11"/>
        <rFont val="Calibri"/>
        <family val="2"/>
        <scheme val="minor"/>
      </rPr>
      <t xml:space="preserve"> 5_/ </t>
    </r>
  </si>
  <si>
    <r>
      <t>Dh.kudahuvadhoo</t>
    </r>
    <r>
      <rPr>
        <b/>
        <vertAlign val="superscript"/>
        <sz val="11"/>
        <rFont val="Calibri"/>
        <family val="2"/>
        <scheme val="minor"/>
      </rPr>
      <t xml:space="preserve">6_/ </t>
    </r>
  </si>
  <si>
    <t>2020 ,ctogiruh urutwfurutwd egcnurwjcniswf iawgukwturwdnwb egiawv egEjcaWr cnutogeguhwmcswm  :11.15 ulwvWt</t>
  </si>
  <si>
    <t>Table 11.15 :  PASSENGER MOVEMENTS AT DOMESTIC AIRPORTS BY MONTH, 2020</t>
  </si>
  <si>
    <t>GDh. KAADEDHDHOO AIRPORT</t>
  </si>
  <si>
    <t>ގދ. ކާޑެއްދޫ އެއަރޕޯޓް</t>
  </si>
  <si>
    <t>L. KADHDHOO AIRPORT</t>
  </si>
  <si>
    <t>ލ.ކައްދޫ އެއަރޕޯޓް</t>
  </si>
  <si>
    <t>ޏ.ފުވައްމުލައް އެއަރޕޯޓް</t>
  </si>
  <si>
    <t>ބ.ދަރަވަންދޫ އެއަރޕޯޓް</t>
  </si>
  <si>
    <t>ގއ.ކޫއްޑޫ އެއަރޕޯޓް</t>
  </si>
  <si>
    <t>ތ.ތިމަރަފުށި އެއަރޕޯޓް</t>
  </si>
  <si>
    <t>ރ.އިފުރު އެއަރޕޯޓް</t>
  </si>
  <si>
    <t>އދ.މާމިގިލި އެއަރޕޯޓް</t>
  </si>
  <si>
    <t>ދާލު އެއަރޕޯޓް</t>
  </si>
  <si>
    <t>Passenger IN</t>
  </si>
  <si>
    <t>Passenger OUT</t>
  </si>
  <si>
    <r>
      <t>GN.FUVAHMULAH  AIRPORT</t>
    </r>
    <r>
      <rPr>
        <b/>
        <vertAlign val="superscript"/>
        <sz val="11"/>
        <color theme="1"/>
        <rFont val="Calibri"/>
        <family val="2"/>
        <scheme val="minor"/>
      </rPr>
      <t>1_/</t>
    </r>
  </si>
  <si>
    <r>
      <t>B. DHARAVANDHOO AIRPORT</t>
    </r>
    <r>
      <rPr>
        <b/>
        <vertAlign val="superscript"/>
        <sz val="11"/>
        <color theme="1"/>
        <rFont val="Calibri"/>
        <family val="2"/>
        <scheme val="minor"/>
      </rPr>
      <t xml:space="preserve">2_/ </t>
    </r>
  </si>
  <si>
    <r>
      <t>GA. KOODDOO AIRPORT</t>
    </r>
    <r>
      <rPr>
        <b/>
        <vertAlign val="superscript"/>
        <sz val="11"/>
        <color theme="1"/>
        <rFont val="Calibri"/>
        <family val="2"/>
        <scheme val="minor"/>
      </rPr>
      <t>3_/</t>
    </r>
  </si>
  <si>
    <r>
      <t>Th.THIMARAFUSHI AIRPORT</t>
    </r>
    <r>
      <rPr>
        <b/>
        <vertAlign val="superscript"/>
        <sz val="11"/>
        <color theme="1"/>
        <rFont val="Calibri"/>
        <family val="2"/>
        <scheme val="minor"/>
      </rPr>
      <t>4_/</t>
    </r>
  </si>
  <si>
    <r>
      <t>R.IFURU AIRPORT</t>
    </r>
    <r>
      <rPr>
        <b/>
        <vertAlign val="superscript"/>
        <sz val="11"/>
        <color theme="1"/>
        <rFont val="Calibri"/>
        <family val="2"/>
        <scheme val="minor"/>
      </rPr>
      <t>5_/</t>
    </r>
  </si>
  <si>
    <r>
      <t>DHAALU AIRPORT</t>
    </r>
    <r>
      <rPr>
        <b/>
        <vertAlign val="superscript"/>
        <sz val="11"/>
        <color theme="1"/>
        <rFont val="Calibri"/>
        <family val="2"/>
        <scheme val="minor"/>
      </rPr>
      <t>6_/</t>
    </r>
  </si>
  <si>
    <r>
      <t>ADh. MAAMIGILLI AIRPORT</t>
    </r>
    <r>
      <rPr>
        <b/>
        <vertAlign val="superscript"/>
        <sz val="11"/>
        <color theme="1"/>
        <rFont val="Calibri"/>
        <family val="2"/>
        <scheme val="minor"/>
      </rPr>
      <t>1_/</t>
    </r>
  </si>
  <si>
    <t>MAAVRULU</t>
  </si>
  <si>
    <t>FUNADHOO</t>
  </si>
  <si>
    <t>KULHUDHUFFUSHI</t>
  </si>
  <si>
    <t>HOARAFUSHI</t>
  </si>
  <si>
    <t>MADIVARU</t>
  </si>
  <si>
    <t>Table 11.16 :  PASSENGER MOVEMENTS (PASSENGER IN / OUT) AT DOMESTIC AIRPORTS BY MONTH, 2015 - 20222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</si>
</sst>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7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Garamond"/>
      <family val="1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u/>
      <sz val="10"/>
      <color indexed="12"/>
      <name val="Arial"/>
      <family val="2"/>
    </font>
    <font>
      <b/>
      <sz val="9"/>
      <name val="A_Faseyha"/>
    </font>
    <font>
      <b/>
      <sz val="12"/>
      <color theme="1"/>
      <name val="A_Faseyha"/>
    </font>
    <font>
      <sz val="10"/>
      <name val="A_Faseyha"/>
    </font>
    <font>
      <b/>
      <sz val="10.5"/>
      <name val="Faruma"/>
    </font>
    <font>
      <b/>
      <sz val="12"/>
      <name val="Faruma"/>
    </font>
    <font>
      <sz val="12"/>
      <color theme="1"/>
      <name val="Faruma"/>
    </font>
    <font>
      <sz val="12"/>
      <color theme="1"/>
      <name val="A_Faseyha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_Faseyha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_Faseyha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Farum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/>
      <right style="hair">
        <color theme="1"/>
      </right>
      <top style="thin">
        <color theme="0"/>
      </top>
      <bottom style="thin">
        <color theme="0"/>
      </bottom>
      <diagonal/>
    </border>
    <border>
      <left/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1"/>
      </right>
      <top style="thin">
        <color indexed="64"/>
      </top>
      <bottom style="thin">
        <color theme="0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/>
      <bottom style="thin">
        <color theme="0"/>
      </bottom>
      <diagonal/>
    </border>
    <border>
      <left style="hair">
        <color theme="1"/>
      </left>
      <right/>
      <top style="thin">
        <color theme="0"/>
      </top>
      <bottom style="thin">
        <color theme="0"/>
      </bottom>
      <diagonal/>
    </border>
    <border>
      <left style="hair">
        <color theme="1"/>
      </left>
      <right/>
      <top style="thin">
        <color theme="0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9" fillId="0" borderId="0" applyFont="0" applyFill="0" applyBorder="0" applyAlignment="0" applyProtection="0"/>
    <xf numFmtId="0" fontId="4" fillId="0" borderId="0"/>
    <xf numFmtId="0" fontId="16" fillId="0" borderId="0"/>
    <xf numFmtId="165" fontId="2" fillId="0" borderId="0"/>
    <xf numFmtId="165" fontId="2" fillId="0" borderId="0"/>
    <xf numFmtId="167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35" fillId="0" borderId="0"/>
    <xf numFmtId="43" fontId="4" fillId="0" borderId="0" applyFont="0" applyFill="0" applyBorder="0" applyAlignment="0" applyProtection="0"/>
    <xf numFmtId="0" fontId="4" fillId="0" borderId="0"/>
  </cellStyleXfs>
  <cellXfs count="191">
    <xf numFmtId="0" fontId="0" fillId="0" borderId="0" xfId="0"/>
    <xf numFmtId="164" fontId="0" fillId="2" borderId="0" xfId="0" applyNumberFormat="1" applyFill="1"/>
    <xf numFmtId="164" fontId="7" fillId="2" borderId="0" xfId="0" applyNumberFormat="1" applyFont="1" applyFill="1"/>
    <xf numFmtId="164" fontId="8" fillId="2" borderId="0" xfId="2" applyFont="1" applyFill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3" fillId="2" borderId="0" xfId="2" applyFont="1" applyFill="1" applyAlignment="1">
      <alignment horizontal="left" vertical="center"/>
    </xf>
    <xf numFmtId="37" fontId="6" fillId="2" borderId="0" xfId="2" applyNumberFormat="1" applyFont="1" applyFill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164" fontId="2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164" fontId="17" fillId="2" borderId="0" xfId="2" applyFont="1" applyFill="1" applyAlignment="1">
      <alignment horizontal="center" vertical="center" wrapText="1"/>
    </xf>
    <xf numFmtId="164" fontId="18" fillId="2" borderId="0" xfId="0" applyNumberFormat="1" applyFont="1" applyFill="1"/>
    <xf numFmtId="3" fontId="8" fillId="2" borderId="17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165" fontId="0" fillId="2" borderId="0" xfId="1" applyNumberFormat="1" applyFont="1" applyFill="1"/>
    <xf numFmtId="164" fontId="19" fillId="2" borderId="0" xfId="2" applyFont="1" applyFill="1" applyAlignment="1">
      <alignment horizontal="left" vertical="center"/>
    </xf>
    <xf numFmtId="37" fontId="4" fillId="2" borderId="0" xfId="2" applyNumberFormat="1" applyFont="1" applyFill="1" applyAlignment="1">
      <alignment vertical="center"/>
    </xf>
    <xf numFmtId="164" fontId="11" fillId="2" borderId="0" xfId="2" applyFont="1" applyFill="1"/>
    <xf numFmtId="0" fontId="11" fillId="2" borderId="0" xfId="4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5" fillId="2" borderId="29" xfId="2" applyNumberFormat="1" applyFont="1" applyFill="1" applyBorder="1" applyAlignment="1">
      <alignment horizontal="center" vertical="center"/>
    </xf>
    <xf numFmtId="0" fontId="5" fillId="2" borderId="31" xfId="2" applyNumberFormat="1" applyFont="1" applyFill="1" applyBorder="1" applyAlignment="1">
      <alignment horizontal="center" vertical="center"/>
    </xf>
    <xf numFmtId="0" fontId="5" fillId="2" borderId="32" xfId="2" applyNumberFormat="1" applyFont="1" applyFill="1" applyBorder="1" applyAlignment="1">
      <alignment horizontal="center" vertical="center"/>
    </xf>
    <xf numFmtId="0" fontId="5" fillId="2" borderId="16" xfId="2" applyNumberFormat="1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33" xfId="2" applyNumberFormat="1" applyFont="1" applyFill="1" applyBorder="1" applyAlignment="1">
      <alignment horizontal="center" vertical="center"/>
    </xf>
    <xf numFmtId="3" fontId="5" fillId="2" borderId="13" xfId="2" applyNumberFormat="1" applyFont="1" applyFill="1" applyBorder="1" applyAlignment="1">
      <alignment horizontal="center" vertical="center"/>
    </xf>
    <xf numFmtId="3" fontId="5" fillId="2" borderId="34" xfId="2" applyNumberFormat="1" applyFont="1" applyFill="1" applyBorder="1" applyAlignment="1">
      <alignment horizontal="center" vertical="center"/>
    </xf>
    <xf numFmtId="3" fontId="5" fillId="2" borderId="35" xfId="2" applyNumberFormat="1" applyFont="1" applyFill="1" applyBorder="1" applyAlignment="1">
      <alignment horizontal="center" vertical="center"/>
    </xf>
    <xf numFmtId="3" fontId="5" fillId="2" borderId="18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left" vertical="center"/>
    </xf>
    <xf numFmtId="3" fontId="14" fillId="2" borderId="1" xfId="3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4" fillId="2" borderId="7" xfId="3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164" fontId="14" fillId="2" borderId="5" xfId="2" applyFont="1" applyFill="1" applyBorder="1" applyAlignment="1">
      <alignment horizontal="left" vertical="center"/>
    </xf>
    <xf numFmtId="3" fontId="14" fillId="2" borderId="5" xfId="3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3" fontId="14" fillId="2" borderId="22" xfId="3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164" fontId="5" fillId="2" borderId="41" xfId="2" applyFont="1" applyFill="1" applyBorder="1" applyAlignment="1">
      <alignment horizontal="right" vertical="center"/>
    </xf>
    <xf numFmtId="164" fontId="27" fillId="2" borderId="0" xfId="2" applyFont="1" applyFill="1" applyAlignment="1">
      <alignment horizontal="right" vertical="center"/>
    </xf>
    <xf numFmtId="164" fontId="10" fillId="2" borderId="41" xfId="2" applyFont="1" applyFill="1" applyBorder="1" applyAlignment="1">
      <alignment horizontal="left" vertical="center"/>
    </xf>
    <xf numFmtId="164" fontId="17" fillId="2" borderId="41" xfId="2" applyFont="1" applyFill="1" applyBorder="1" applyAlignment="1">
      <alignment horizontal="right" vertical="center"/>
    </xf>
    <xf numFmtId="0" fontId="5" fillId="2" borderId="41" xfId="2" applyNumberFormat="1" applyFont="1" applyFill="1" applyBorder="1" applyAlignment="1">
      <alignment horizontal="center" vertical="center"/>
    </xf>
    <xf numFmtId="164" fontId="24" fillId="2" borderId="0" xfId="2" applyFont="1" applyFill="1" applyAlignment="1">
      <alignment horizontal="right" vertical="center"/>
    </xf>
    <xf numFmtId="164" fontId="23" fillId="2" borderId="0" xfId="0" applyNumberFormat="1" applyFont="1" applyFill="1"/>
    <xf numFmtId="0" fontId="29" fillId="2" borderId="11" xfId="5" applyFont="1" applyFill="1" applyBorder="1" applyAlignment="1">
      <alignment horizontal="right"/>
    </xf>
    <xf numFmtId="0" fontId="29" fillId="2" borderId="12" xfId="5" applyFont="1" applyFill="1" applyBorder="1" applyAlignment="1">
      <alignment horizontal="right"/>
    </xf>
    <xf numFmtId="0" fontId="24" fillId="2" borderId="13" xfId="5" applyFont="1" applyFill="1" applyBorder="1" applyAlignment="1">
      <alignment horizontal="right"/>
    </xf>
    <xf numFmtId="164" fontId="30" fillId="2" borderId="8" xfId="2" applyFont="1" applyFill="1" applyBorder="1" applyAlignment="1">
      <alignment horizontal="center" vertical="center"/>
    </xf>
    <xf numFmtId="164" fontId="32" fillId="2" borderId="8" xfId="0" applyNumberFormat="1" applyFont="1" applyFill="1" applyBorder="1"/>
    <xf numFmtId="164" fontId="31" fillId="2" borderId="18" xfId="2" applyFont="1" applyFill="1" applyBorder="1" applyAlignment="1">
      <alignment vertical="center"/>
    </xf>
    <xf numFmtId="164" fontId="33" fillId="2" borderId="8" xfId="0" applyNumberFormat="1" applyFont="1" applyFill="1" applyBorder="1"/>
    <xf numFmtId="164" fontId="32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5" fillId="2" borderId="22" xfId="2" applyFont="1" applyFill="1" applyBorder="1" applyAlignment="1">
      <alignment vertical="center" wrapText="1"/>
    </xf>
    <xf numFmtId="3" fontId="10" fillId="3" borderId="1" xfId="2" applyNumberFormat="1" applyFont="1" applyFill="1" applyBorder="1" applyAlignment="1">
      <alignment horizontal="right" vertical="center"/>
    </xf>
    <xf numFmtId="3" fontId="10" fillId="3" borderId="1" xfId="3" applyNumberFormat="1" applyFont="1" applyFill="1" applyBorder="1" applyAlignment="1">
      <alignment horizontal="right" vertical="center"/>
    </xf>
    <xf numFmtId="3" fontId="10" fillId="3" borderId="0" xfId="2" applyNumberFormat="1" applyFont="1" applyFill="1" applyAlignment="1">
      <alignment horizontal="right" vertical="center"/>
    </xf>
    <xf numFmtId="3" fontId="10" fillId="3" borderId="5" xfId="2" applyNumberFormat="1" applyFont="1" applyFill="1" applyBorder="1" applyAlignment="1">
      <alignment horizontal="right" vertical="center"/>
    </xf>
    <xf numFmtId="3" fontId="10" fillId="3" borderId="5" xfId="3" applyNumberFormat="1" applyFont="1" applyFill="1" applyBorder="1" applyAlignment="1">
      <alignment horizontal="right" vertical="center"/>
    </xf>
    <xf numFmtId="3" fontId="10" fillId="3" borderId="41" xfId="2" applyNumberFormat="1" applyFont="1" applyFill="1" applyBorder="1" applyAlignment="1">
      <alignment horizontal="right" vertical="center"/>
    </xf>
    <xf numFmtId="164" fontId="31" fillId="2" borderId="8" xfId="2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 wrapText="1"/>
    </xf>
    <xf numFmtId="0" fontId="0" fillId="2" borderId="0" xfId="0" applyFill="1"/>
    <xf numFmtId="164" fontId="36" fillId="2" borderId="17" xfId="2" applyFont="1" applyFill="1" applyBorder="1" applyAlignment="1">
      <alignment horizontal="left" vertical="center"/>
    </xf>
    <xf numFmtId="164" fontId="36" fillId="2" borderId="18" xfId="2" applyFont="1" applyFill="1" applyBorder="1" applyAlignment="1">
      <alignment vertical="center"/>
    </xf>
    <xf numFmtId="164" fontId="28" fillId="2" borderId="18" xfId="2" applyFont="1" applyFill="1" applyBorder="1" applyAlignment="1">
      <alignment vertical="center"/>
    </xf>
    <xf numFmtId="164" fontId="21" fillId="2" borderId="1" xfId="2" applyFont="1" applyFill="1" applyBorder="1" applyAlignment="1">
      <alignment horizontal="center" vertical="center"/>
    </xf>
    <xf numFmtId="164" fontId="21" fillId="2" borderId="22" xfId="2" applyFont="1" applyFill="1" applyBorder="1" applyAlignment="1">
      <alignment vertical="center" wrapText="1"/>
    </xf>
    <xf numFmtId="164" fontId="22" fillId="2" borderId="5" xfId="2" applyFont="1" applyFill="1" applyBorder="1" applyAlignment="1">
      <alignment horizontal="left" vertical="center"/>
    </xf>
    <xf numFmtId="0" fontId="37" fillId="2" borderId="26" xfId="2" applyNumberFormat="1" applyFont="1" applyFill="1" applyBorder="1" applyAlignment="1">
      <alignment horizontal="center" vertical="center"/>
    </xf>
    <xf numFmtId="0" fontId="37" fillId="2" borderId="27" xfId="2" applyNumberFormat="1" applyFont="1" applyFill="1" applyBorder="1" applyAlignment="1">
      <alignment horizontal="center" vertical="center"/>
    </xf>
    <xf numFmtId="0" fontId="37" fillId="2" borderId="28" xfId="2" applyNumberFormat="1" applyFont="1" applyFill="1" applyBorder="1" applyAlignment="1">
      <alignment horizontal="center" vertical="center"/>
    </xf>
    <xf numFmtId="0" fontId="37" fillId="2" borderId="29" xfId="2" applyNumberFormat="1" applyFont="1" applyFill="1" applyBorder="1" applyAlignment="1">
      <alignment horizontal="center" vertical="center"/>
    </xf>
    <xf numFmtId="0" fontId="37" fillId="2" borderId="30" xfId="2" applyNumberFormat="1" applyFont="1" applyFill="1" applyBorder="1" applyAlignment="1">
      <alignment horizontal="center" vertical="center"/>
    </xf>
    <xf numFmtId="0" fontId="37" fillId="2" borderId="31" xfId="2" applyNumberFormat="1" applyFont="1" applyFill="1" applyBorder="1" applyAlignment="1">
      <alignment horizontal="center" vertical="center"/>
    </xf>
    <xf numFmtId="0" fontId="37" fillId="2" borderId="41" xfId="2" applyNumberFormat="1" applyFont="1" applyFill="1" applyBorder="1" applyAlignment="1">
      <alignment horizontal="center" vertical="center"/>
    </xf>
    <xf numFmtId="0" fontId="37" fillId="2" borderId="32" xfId="2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1" fillId="2" borderId="0" xfId="0" applyFont="1" applyFill="1"/>
    <xf numFmtId="0" fontId="37" fillId="2" borderId="49" xfId="2" applyNumberFormat="1" applyFont="1" applyFill="1" applyBorder="1" applyAlignment="1">
      <alignment horizontal="center" vertical="center"/>
    </xf>
    <xf numFmtId="0" fontId="37" fillId="2" borderId="45" xfId="2" applyNumberFormat="1" applyFont="1" applyFill="1" applyBorder="1" applyAlignment="1">
      <alignment horizontal="center" vertical="center"/>
    </xf>
    <xf numFmtId="164" fontId="21" fillId="2" borderId="0" xfId="0" applyNumberFormat="1" applyFont="1" applyFill="1"/>
    <xf numFmtId="164" fontId="1" fillId="2" borderId="0" xfId="0" applyNumberFormat="1" applyFont="1" applyFill="1"/>
    <xf numFmtId="164" fontId="22" fillId="2" borderId="2" xfId="2" applyFont="1" applyFill="1" applyBorder="1" applyAlignment="1">
      <alignment horizontal="left" vertical="center"/>
    </xf>
    <xf numFmtId="3" fontId="37" fillId="2" borderId="3" xfId="2" applyNumberFormat="1" applyFont="1" applyFill="1" applyBorder="1" applyAlignment="1">
      <alignment horizontal="center" vertical="center"/>
    </xf>
    <xf numFmtId="3" fontId="37" fillId="2" borderId="13" xfId="2" applyNumberFormat="1" applyFont="1" applyFill="1" applyBorder="1" applyAlignment="1">
      <alignment horizontal="center" vertical="center"/>
    </xf>
    <xf numFmtId="3" fontId="37" fillId="2" borderId="34" xfId="2" applyNumberFormat="1" applyFont="1" applyFill="1" applyBorder="1" applyAlignment="1">
      <alignment horizontal="center" vertical="center"/>
    </xf>
    <xf numFmtId="3" fontId="37" fillId="2" borderId="19" xfId="2" applyNumberFormat="1" applyFont="1" applyFill="1" applyBorder="1" applyAlignment="1">
      <alignment horizontal="center" vertical="center"/>
    </xf>
    <xf numFmtId="3" fontId="37" fillId="2" borderId="48" xfId="2" applyNumberFormat="1" applyFont="1" applyFill="1" applyBorder="1" applyAlignment="1">
      <alignment horizontal="center" vertical="center"/>
    </xf>
    <xf numFmtId="3" fontId="37" fillId="2" borderId="50" xfId="2" applyNumberFormat="1" applyFont="1" applyFill="1" applyBorder="1" applyAlignment="1">
      <alignment horizontal="center" vertical="center"/>
    </xf>
    <xf numFmtId="3" fontId="37" fillId="2" borderId="7" xfId="0" applyNumberFormat="1" applyFont="1" applyFill="1" applyBorder="1" applyAlignment="1">
      <alignment horizontal="center" vertical="center"/>
    </xf>
    <xf numFmtId="0" fontId="39" fillId="2" borderId="13" xfId="5" applyFont="1" applyFill="1" applyBorder="1" applyAlignment="1">
      <alignment horizontal="right"/>
    </xf>
    <xf numFmtId="164" fontId="23" fillId="2" borderId="1" xfId="2" applyFont="1" applyFill="1" applyBorder="1" applyAlignment="1">
      <alignment horizontal="left" vertical="center" indent="1"/>
    </xf>
    <xf numFmtId="164" fontId="23" fillId="2" borderId="1" xfId="2" applyFont="1" applyFill="1" applyBorder="1" applyAlignment="1">
      <alignment horizontal="left" vertical="center"/>
    </xf>
    <xf numFmtId="3" fontId="23" fillId="2" borderId="4" xfId="0" applyNumberFormat="1" applyFont="1" applyFill="1" applyBorder="1" applyAlignment="1">
      <alignment horizontal="center" vertical="center"/>
    </xf>
    <xf numFmtId="3" fontId="23" fillId="2" borderId="11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3" fontId="23" fillId="2" borderId="51" xfId="0" applyNumberFormat="1" applyFont="1" applyFill="1" applyBorder="1" applyAlignment="1">
      <alignment horizontal="center" vertical="center"/>
    </xf>
    <xf numFmtId="0" fontId="41" fillId="2" borderId="11" xfId="5" applyFont="1" applyFill="1" applyBorder="1" applyAlignment="1">
      <alignment horizontal="right"/>
    </xf>
    <xf numFmtId="164" fontId="23" fillId="2" borderId="5" xfId="2" applyFont="1" applyFill="1" applyBorder="1" applyAlignment="1">
      <alignment horizontal="left" vertical="center" indent="1"/>
    </xf>
    <xf numFmtId="164" fontId="23" fillId="2" borderId="5" xfId="2" applyFont="1" applyFill="1" applyBorder="1" applyAlignment="1">
      <alignment horizontal="left" vertical="center"/>
    </xf>
    <xf numFmtId="3" fontId="23" fillId="2" borderId="6" xfId="0" applyNumberFormat="1" applyFont="1" applyFill="1" applyBorder="1" applyAlignment="1">
      <alignment horizontal="center" vertical="center"/>
    </xf>
    <xf numFmtId="3" fontId="23" fillId="2" borderId="12" xfId="0" applyNumberFormat="1" applyFont="1" applyFill="1" applyBorder="1" applyAlignment="1">
      <alignment horizontal="center" vertical="center"/>
    </xf>
    <xf numFmtId="3" fontId="23" fillId="2" borderId="22" xfId="0" applyNumberFormat="1" applyFont="1" applyFill="1" applyBorder="1" applyAlignment="1">
      <alignment horizontal="center" vertical="center"/>
    </xf>
    <xf numFmtId="3" fontId="23" fillId="2" borderId="52" xfId="0" applyNumberFormat="1" applyFont="1" applyFill="1" applyBorder="1" applyAlignment="1">
      <alignment horizontal="center" vertical="center"/>
    </xf>
    <xf numFmtId="0" fontId="41" fillId="2" borderId="12" xfId="5" applyFont="1" applyFill="1" applyBorder="1" applyAlignment="1">
      <alignment horizontal="right"/>
    </xf>
    <xf numFmtId="164" fontId="42" fillId="2" borderId="0" xfId="2" applyFont="1" applyFill="1" applyAlignment="1">
      <alignment horizontal="left" vertical="center"/>
    </xf>
    <xf numFmtId="37" fontId="43" fillId="2" borderId="0" xfId="2" applyNumberFormat="1" applyFont="1" applyFill="1" applyAlignment="1">
      <alignment vertical="center"/>
    </xf>
    <xf numFmtId="165" fontId="1" fillId="2" borderId="0" xfId="1" applyNumberFormat="1" applyFont="1" applyFill="1"/>
    <xf numFmtId="3" fontId="37" fillId="2" borderId="18" xfId="2" applyNumberFormat="1" applyFont="1" applyFill="1" applyBorder="1" applyAlignment="1">
      <alignment horizontal="center" vertical="center"/>
    </xf>
    <xf numFmtId="3" fontId="37" fillId="2" borderId="33" xfId="2" applyNumberFormat="1" applyFont="1" applyFill="1" applyBorder="1" applyAlignment="1">
      <alignment horizontal="center" vertical="center"/>
    </xf>
    <xf numFmtId="3" fontId="23" fillId="2" borderId="36" xfId="0" applyNumberFormat="1" applyFont="1" applyFill="1" applyBorder="1" applyAlignment="1">
      <alignment horizontal="center" vertical="center"/>
    </xf>
    <xf numFmtId="3" fontId="23" fillId="2" borderId="24" xfId="0" applyNumberFormat="1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right" vertical="center"/>
    </xf>
    <xf numFmtId="164" fontId="36" fillId="2" borderId="8" xfId="2" applyFont="1" applyFill="1" applyBorder="1" applyAlignment="1">
      <alignment horizontal="center" vertical="center"/>
    </xf>
    <xf numFmtId="164" fontId="21" fillId="2" borderId="41" xfId="2" applyFont="1" applyFill="1" applyBorder="1" applyAlignment="1">
      <alignment horizontal="center" vertical="center" wrapText="1"/>
    </xf>
    <xf numFmtId="3" fontId="23" fillId="2" borderId="37" xfId="0" applyNumberFormat="1" applyFont="1" applyFill="1" applyBorder="1" applyAlignment="1">
      <alignment horizontal="center" vertical="center"/>
    </xf>
    <xf numFmtId="3" fontId="23" fillId="2" borderId="46" xfId="0" applyNumberFormat="1" applyFont="1" applyFill="1" applyBorder="1" applyAlignment="1">
      <alignment horizontal="center" vertical="center"/>
    </xf>
    <xf numFmtId="3" fontId="23" fillId="2" borderId="23" xfId="0" applyNumberFormat="1" applyFont="1" applyFill="1" applyBorder="1" applyAlignment="1">
      <alignment horizontal="center" vertical="center"/>
    </xf>
    <xf numFmtId="3" fontId="23" fillId="2" borderId="47" xfId="0" applyNumberFormat="1" applyFont="1" applyFill="1" applyBorder="1" applyAlignment="1">
      <alignment horizontal="center" vertical="center"/>
    </xf>
    <xf numFmtId="164" fontId="3" fillId="2" borderId="0" xfId="2" applyFont="1" applyFill="1" applyAlignment="1">
      <alignment horizontal="center" vertical="center"/>
    </xf>
    <xf numFmtId="164" fontId="8" fillId="2" borderId="8" xfId="2" applyFont="1" applyFill="1" applyBorder="1" applyAlignment="1">
      <alignment horizontal="left" vertical="center"/>
    </xf>
    <xf numFmtId="164" fontId="8" fillId="2" borderId="0" xfId="2" applyFont="1" applyFill="1" applyAlignment="1">
      <alignment horizontal="left" vertical="center"/>
    </xf>
    <xf numFmtId="164" fontId="8" fillId="2" borderId="41" xfId="2" applyFont="1" applyFill="1" applyBorder="1" applyAlignment="1">
      <alignment horizontal="left" vertical="center"/>
    </xf>
    <xf numFmtId="164" fontId="17" fillId="2" borderId="41" xfId="2" applyFont="1" applyFill="1" applyBorder="1" applyAlignment="1">
      <alignment horizontal="center" vertical="center" wrapText="1"/>
    </xf>
    <xf numFmtId="164" fontId="30" fillId="2" borderId="8" xfId="2" applyFont="1" applyFill="1" applyBorder="1" applyAlignment="1">
      <alignment horizontal="center" vertical="center"/>
    </xf>
    <xf numFmtId="164" fontId="25" fillId="2" borderId="0" xfId="2" applyFont="1" applyFill="1" applyAlignment="1">
      <alignment horizontal="center" vertical="center"/>
    </xf>
    <xf numFmtId="164" fontId="24" fillId="2" borderId="8" xfId="2" applyFont="1" applyFill="1" applyBorder="1" applyAlignment="1">
      <alignment horizontal="right" vertical="center"/>
    </xf>
    <xf numFmtId="164" fontId="24" fillId="2" borderId="0" xfId="2" applyFont="1" applyFill="1" applyAlignment="1">
      <alignment horizontal="right" vertical="center"/>
    </xf>
    <xf numFmtId="164" fontId="24" fillId="2" borderId="41" xfId="2" applyFont="1" applyFill="1" applyBorder="1" applyAlignment="1">
      <alignment horizontal="right" vertical="center"/>
    </xf>
    <xf numFmtId="164" fontId="8" fillId="2" borderId="17" xfId="2" applyFont="1" applyFill="1" applyBorder="1" applyAlignment="1">
      <alignment horizontal="left" vertical="center"/>
    </xf>
    <xf numFmtId="164" fontId="8" fillId="2" borderId="1" xfId="2" applyFont="1" applyFill="1" applyBorder="1" applyAlignment="1">
      <alignment horizontal="left" vertical="center"/>
    </xf>
    <xf numFmtId="164" fontId="8" fillId="2" borderId="5" xfId="2" applyFont="1" applyFill="1" applyBorder="1" applyAlignment="1">
      <alignment horizontal="left" vertical="center"/>
    </xf>
    <xf numFmtId="164" fontId="28" fillId="2" borderId="10" xfId="2" applyFont="1" applyFill="1" applyBorder="1" applyAlignment="1">
      <alignment horizontal="center" vertical="center"/>
    </xf>
    <xf numFmtId="164" fontId="28" fillId="2" borderId="18" xfId="2" applyFont="1" applyFill="1" applyBorder="1" applyAlignment="1">
      <alignment horizontal="center" vertical="center"/>
    </xf>
    <xf numFmtId="164" fontId="28" fillId="2" borderId="19" xfId="2" applyFont="1" applyFill="1" applyBorder="1" applyAlignment="1">
      <alignment horizontal="center" vertical="center"/>
    </xf>
    <xf numFmtId="164" fontId="28" fillId="2" borderId="15" xfId="2" applyFont="1" applyFill="1" applyBorder="1" applyAlignment="1">
      <alignment horizontal="center" vertical="center"/>
    </xf>
    <xf numFmtId="164" fontId="28" fillId="2" borderId="8" xfId="2" applyFont="1" applyFill="1" applyBorder="1" applyAlignment="1">
      <alignment horizontal="center" vertical="center"/>
    </xf>
    <xf numFmtId="164" fontId="31" fillId="2" borderId="15" xfId="2" applyFont="1" applyFill="1" applyBorder="1" applyAlignment="1">
      <alignment horizontal="center" vertical="center"/>
    </xf>
    <xf numFmtId="164" fontId="31" fillId="2" borderId="8" xfId="2" applyFont="1" applyFill="1" applyBorder="1" applyAlignment="1">
      <alignment horizontal="center" vertical="center"/>
    </xf>
    <xf numFmtId="0" fontId="24" fillId="2" borderId="9" xfId="5" applyFont="1" applyFill="1" applyBorder="1" applyAlignment="1">
      <alignment horizontal="right" vertical="center"/>
    </xf>
    <xf numFmtId="0" fontId="24" fillId="2" borderId="11" xfId="5" applyFont="1" applyFill="1" applyBorder="1" applyAlignment="1">
      <alignment horizontal="right" vertical="center"/>
    </xf>
    <xf numFmtId="0" fontId="24" fillId="2" borderId="12" xfId="5" applyFont="1" applyFill="1" applyBorder="1" applyAlignment="1">
      <alignment horizontal="right" vertical="center"/>
    </xf>
    <xf numFmtId="164" fontId="21" fillId="2" borderId="6" xfId="2" applyFont="1" applyFill="1" applyBorder="1" applyAlignment="1">
      <alignment horizontal="center" vertical="center" wrapText="1"/>
    </xf>
    <xf numFmtId="164" fontId="21" fillId="2" borderId="22" xfId="2" applyFont="1" applyFill="1" applyBorder="1" applyAlignment="1">
      <alignment horizontal="center" vertical="center" wrapText="1"/>
    </xf>
    <xf numFmtId="164" fontId="21" fillId="2" borderId="23" xfId="2" applyFont="1" applyFill="1" applyBorder="1" applyAlignment="1">
      <alignment horizontal="center" vertical="center" wrapText="1"/>
    </xf>
    <xf numFmtId="164" fontId="21" fillId="2" borderId="14" xfId="2" applyFont="1" applyFill="1" applyBorder="1" applyAlignment="1">
      <alignment horizontal="center" vertical="center" wrapText="1"/>
    </xf>
    <xf numFmtId="164" fontId="21" fillId="2" borderId="0" xfId="2" applyFont="1" applyFill="1" applyAlignment="1">
      <alignment horizontal="center" vertical="center" wrapText="1"/>
    </xf>
    <xf numFmtId="164" fontId="15" fillId="2" borderId="14" xfId="2" applyFont="1" applyFill="1" applyBorder="1" applyAlignment="1">
      <alignment horizontal="center" vertical="center" wrapText="1"/>
    </xf>
    <xf numFmtId="164" fontId="15" fillId="2" borderId="0" xfId="2" applyFont="1" applyFill="1" applyAlignment="1">
      <alignment horizontal="center" vertical="center" wrapText="1"/>
    </xf>
    <xf numFmtId="164" fontId="15" fillId="2" borderId="16" xfId="2" applyFont="1" applyFill="1" applyBorder="1" applyAlignment="1">
      <alignment horizontal="center" vertical="center" wrapText="1"/>
    </xf>
    <xf numFmtId="164" fontId="15" fillId="2" borderId="41" xfId="2" applyFont="1" applyFill="1" applyBorder="1" applyAlignment="1">
      <alignment horizontal="center" vertical="center" wrapText="1"/>
    </xf>
    <xf numFmtId="164" fontId="15" fillId="2" borderId="25" xfId="2" applyFont="1" applyFill="1" applyBorder="1" applyAlignment="1">
      <alignment horizontal="center" vertical="center" wrapText="1"/>
    </xf>
    <xf numFmtId="164" fontId="15" fillId="2" borderId="24" xfId="2" applyFont="1" applyFill="1" applyBorder="1" applyAlignment="1">
      <alignment horizontal="center" vertical="center" wrapText="1"/>
    </xf>
    <xf numFmtId="164" fontId="15" fillId="2" borderId="22" xfId="2" applyFont="1" applyFill="1" applyBorder="1" applyAlignment="1">
      <alignment horizontal="center" vertical="center" wrapText="1"/>
    </xf>
    <xf numFmtId="164" fontId="15" fillId="2" borderId="23" xfId="2" applyFont="1" applyFill="1" applyBorder="1" applyAlignment="1">
      <alignment horizontal="center" vertical="center" wrapText="1"/>
    </xf>
    <xf numFmtId="164" fontId="31" fillId="2" borderId="21" xfId="2" applyFont="1" applyFill="1" applyBorder="1" applyAlignment="1">
      <alignment horizontal="center" vertical="center"/>
    </xf>
    <xf numFmtId="164" fontId="31" fillId="2" borderId="20" xfId="2" applyFont="1" applyFill="1" applyBorder="1" applyAlignment="1">
      <alignment horizontal="center" vertical="center"/>
    </xf>
    <xf numFmtId="164" fontId="31" fillId="2" borderId="18" xfId="2" applyFont="1" applyFill="1" applyBorder="1" applyAlignment="1">
      <alignment horizontal="center" vertical="center"/>
    </xf>
    <xf numFmtId="164" fontId="31" fillId="2" borderId="19" xfId="2" applyFont="1" applyFill="1" applyBorder="1" applyAlignment="1">
      <alignment horizontal="center" vertical="center"/>
    </xf>
    <xf numFmtId="164" fontId="21" fillId="2" borderId="41" xfId="2" applyFont="1" applyFill="1" applyBorder="1" applyAlignment="1">
      <alignment horizontal="center" vertical="center" wrapText="1"/>
    </xf>
    <xf numFmtId="164" fontId="38" fillId="2" borderId="0" xfId="2" applyFont="1" applyFill="1" applyAlignment="1">
      <alignment horizontal="center" vertical="center"/>
    </xf>
    <xf numFmtId="164" fontId="21" fillId="2" borderId="54" xfId="2" applyFont="1" applyFill="1" applyBorder="1" applyAlignment="1">
      <alignment horizontal="center" vertical="center" wrapText="1"/>
    </xf>
    <xf numFmtId="164" fontId="21" fillId="2" borderId="44" xfId="2" applyFont="1" applyFill="1" applyBorder="1" applyAlignment="1">
      <alignment horizontal="center" vertical="center" wrapText="1"/>
    </xf>
    <xf numFmtId="0" fontId="39" fillId="2" borderId="40" xfId="5" applyFont="1" applyFill="1" applyBorder="1" applyAlignment="1">
      <alignment horizontal="right" vertical="center"/>
    </xf>
    <xf numFmtId="0" fontId="39" fillId="2" borderId="55" xfId="5" applyFont="1" applyFill="1" applyBorder="1" applyAlignment="1">
      <alignment horizontal="right" vertical="center"/>
    </xf>
    <xf numFmtId="0" fontId="39" fillId="2" borderId="42" xfId="5" applyFont="1" applyFill="1" applyBorder="1" applyAlignment="1">
      <alignment horizontal="right" vertical="center"/>
    </xf>
    <xf numFmtId="164" fontId="36" fillId="2" borderId="53" xfId="2" applyFont="1" applyFill="1" applyBorder="1" applyAlignment="1">
      <alignment horizontal="center" vertical="center"/>
    </xf>
    <xf numFmtId="164" fontId="36" fillId="2" borderId="8" xfId="2" applyFont="1" applyFill="1" applyBorder="1" applyAlignment="1">
      <alignment horizontal="center" vertical="center"/>
    </xf>
    <xf numFmtId="164" fontId="36" fillId="2" borderId="43" xfId="2" applyFont="1" applyFill="1" applyBorder="1" applyAlignment="1">
      <alignment horizontal="center" vertical="center"/>
    </xf>
    <xf numFmtId="164" fontId="21" fillId="2" borderId="38" xfId="2" applyFont="1" applyFill="1" applyBorder="1" applyAlignment="1">
      <alignment horizontal="center" vertical="center" wrapText="1"/>
    </xf>
    <xf numFmtId="164" fontId="22" fillId="2" borderId="17" xfId="2" applyFont="1" applyFill="1" applyBorder="1" applyAlignment="1">
      <alignment horizontal="left" vertical="center"/>
    </xf>
    <xf numFmtId="164" fontId="22" fillId="2" borderId="1" xfId="2" applyFont="1" applyFill="1" applyBorder="1" applyAlignment="1">
      <alignment horizontal="left" vertical="center"/>
    </xf>
    <xf numFmtId="164" fontId="22" fillId="2" borderId="5" xfId="2" applyFont="1" applyFill="1" applyBorder="1" applyAlignment="1">
      <alignment horizontal="left" vertical="center"/>
    </xf>
    <xf numFmtId="164" fontId="36" fillId="2" borderId="39" xfId="2" applyFont="1" applyFill="1" applyBorder="1" applyAlignment="1">
      <alignment horizontal="center" vertical="center"/>
    </xf>
    <xf numFmtId="164" fontId="36" fillId="2" borderId="15" xfId="2" applyFont="1" applyFill="1" applyBorder="1" applyAlignment="1">
      <alignment horizontal="center" vertical="center"/>
    </xf>
    <xf numFmtId="164" fontId="36" fillId="2" borderId="21" xfId="2" applyFont="1" applyFill="1" applyBorder="1" applyAlignment="1">
      <alignment horizontal="center" vertical="center"/>
    </xf>
    <xf numFmtId="164" fontId="21" fillId="2" borderId="16" xfId="2" applyFont="1" applyFill="1" applyBorder="1" applyAlignment="1">
      <alignment horizontal="center" vertical="center" wrapText="1"/>
    </xf>
    <xf numFmtId="164" fontId="21" fillId="2" borderId="25" xfId="2" applyFont="1" applyFill="1" applyBorder="1" applyAlignment="1">
      <alignment horizontal="center" vertical="center" wrapText="1"/>
    </xf>
  </cellXfs>
  <cellStyles count="16">
    <cellStyle name="1" xfId="15" xr:uid="{00000000-0005-0000-0000-000000000000}"/>
    <cellStyle name="Comma" xfId="1" builtinId="3"/>
    <cellStyle name="Comma 2" xfId="3" xr:uid="{00000000-0005-0000-0000-000002000000}"/>
    <cellStyle name="Comma 3" xfId="14" xr:uid="{00000000-0005-0000-0000-000003000000}"/>
    <cellStyle name="Comma 4" xfId="8" xr:uid="{00000000-0005-0000-0000-000004000000}"/>
    <cellStyle name="Hyperlink 2" xfId="9" xr:uid="{00000000-0005-0000-0000-000005000000}"/>
    <cellStyle name="Normal" xfId="0" builtinId="0"/>
    <cellStyle name="Normal 2" xfId="2" xr:uid="{00000000-0005-0000-0000-000007000000}"/>
    <cellStyle name="Normal 2 3" xfId="11" xr:uid="{00000000-0005-0000-0000-000008000000}"/>
    <cellStyle name="Normal 3" xfId="6" xr:uid="{00000000-0005-0000-0000-000009000000}"/>
    <cellStyle name="Normal 3 2" xfId="12" xr:uid="{00000000-0005-0000-0000-00000A000000}"/>
    <cellStyle name="Normal 4" xfId="7" xr:uid="{00000000-0005-0000-0000-00000B000000}"/>
    <cellStyle name="Normal 5" xfId="10" xr:uid="{00000000-0005-0000-0000-00000C000000}"/>
    <cellStyle name="Normal 6" xfId="13" xr:uid="{00000000-0005-0000-0000-00000D000000}"/>
    <cellStyle name="Normal_IX-6(Trans &amp; Comm)" xfId="4" xr:uid="{00000000-0005-0000-0000-00000E000000}"/>
    <cellStyle name="Normal_X-5 (Electricity)" xfId="5" xr:uid="{00000000-0005-0000-0000-000012000000}"/>
  </cellStyles>
  <dxfs count="0"/>
  <tableStyles count="0" defaultTableStyle="TableStyleMedium2" defaultPivotStyle="PivotStyleLight16"/>
  <colors>
    <mruColors>
      <color rgb="FF57B7FF"/>
      <color rgb="FFFF9900"/>
      <color rgb="FF249390"/>
      <color rgb="FF33CCCC"/>
      <color rgb="FFEAFAFA"/>
      <color rgb="FF196563"/>
      <color rgb="FFCF9F6F"/>
      <color rgb="FF996633"/>
      <color rgb="FFC2844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11.10: Passanger movement at Domestic airports, 2019</a:t>
            </a:r>
          </a:p>
        </c:rich>
      </c:tx>
      <c:layout>
        <c:manualLayout>
          <c:xMode val="edge"/>
          <c:yMode val="edge"/>
          <c:x val="0.26093412785515935"/>
          <c:y val="4.3676093439244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35039001789891E-2"/>
          <c:y val="0.15175900044906082"/>
          <c:w val="0.89363709798202262"/>
          <c:h val="0.7305387596737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'11.15'!$AP$21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'11.15'!$AP$22:$AP$30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A8D-B6BC-32BD3BA19818}"/>
            </c:ext>
          </c:extLst>
        </c:ser>
        <c:ser>
          <c:idx val="1"/>
          <c:order val="1"/>
          <c:tx>
            <c:strRef>
              <c:f>'11.15'!$AQ$21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'11.15'!$AQ$22:$AQ$30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F-4A8D-B6BC-32BD3BA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1960"/>
        <c:axId val="412978432"/>
      </c:barChart>
      <c:catAx>
        <c:axId val="4129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12978432"/>
        <c:crosses val="autoZero"/>
        <c:auto val="1"/>
        <c:lblAlgn val="ctr"/>
        <c:lblOffset val="100"/>
        <c:noMultiLvlLbl val="0"/>
      </c:catAx>
      <c:valAx>
        <c:axId val="412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7.1291299536675387E-3"/>
              <c:y val="0.355768284617490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29819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86452562396716"/>
          <c:y val="0.227916852781404"/>
          <c:w val="0.14073558596968916"/>
          <c:h val="9.530048609491821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21</xdr:row>
      <xdr:rowOff>0</xdr:rowOff>
    </xdr:from>
    <xdr:to>
      <xdr:col>22</xdr:col>
      <xdr:colOff>581025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11.%20TRANSPORT%20_%20COMMUNICATION_CAM%20-%20up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25"/>
      <sheetName val="11.26"/>
    </sheetNames>
    <sheetDataSet>
      <sheetData sheetId="0">
        <row r="4"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  <cell r="M4">
            <v>2013</v>
          </cell>
          <cell r="N4">
            <v>2014</v>
          </cell>
          <cell r="O4">
            <v>2015</v>
          </cell>
          <cell r="P4">
            <v>2016</v>
          </cell>
          <cell r="Q4">
            <v>2017</v>
          </cell>
          <cell r="R4">
            <v>2018</v>
          </cell>
        </row>
        <row r="11">
          <cell r="H11">
            <v>435627</v>
          </cell>
          <cell r="I11">
            <v>457770</v>
          </cell>
          <cell r="J11">
            <v>494351</v>
          </cell>
          <cell r="K11">
            <v>527844</v>
          </cell>
          <cell r="L11">
            <v>560547</v>
          </cell>
          <cell r="M11">
            <v>625161</v>
          </cell>
          <cell r="N11">
            <v>665818</v>
          </cell>
          <cell r="O11">
            <v>739790</v>
          </cell>
          <cell r="P11">
            <v>812128</v>
          </cell>
          <cell r="Q11">
            <v>900120</v>
          </cell>
          <cell r="R11">
            <v>857934</v>
          </cell>
        </row>
        <row r="12">
          <cell r="B12" t="str">
            <v>Post paid</v>
          </cell>
          <cell r="H12">
            <v>55282</v>
          </cell>
          <cell r="I12">
            <v>68360</v>
          </cell>
          <cell r="J12">
            <v>71803</v>
          </cell>
          <cell r="K12">
            <v>72751</v>
          </cell>
          <cell r="L12">
            <v>71463</v>
          </cell>
          <cell r="M12">
            <v>73751</v>
          </cell>
          <cell r="N12">
            <v>78656</v>
          </cell>
          <cell r="O12">
            <v>87051</v>
          </cell>
          <cell r="P12">
            <v>97761</v>
          </cell>
          <cell r="Q12">
            <v>113186</v>
          </cell>
          <cell r="R12">
            <v>147462</v>
          </cell>
        </row>
        <row r="13">
          <cell r="B13" t="str">
            <v>Pre-paid</v>
          </cell>
          <cell r="H13">
            <v>380345</v>
          </cell>
          <cell r="I13">
            <v>389410</v>
          </cell>
          <cell r="J13">
            <v>422548</v>
          </cell>
          <cell r="K13">
            <v>455093</v>
          </cell>
          <cell r="L13">
            <v>489084</v>
          </cell>
          <cell r="M13">
            <v>551410</v>
          </cell>
          <cell r="N13">
            <v>587162</v>
          </cell>
          <cell r="O13">
            <v>652739</v>
          </cell>
          <cell r="P13">
            <v>714367</v>
          </cell>
          <cell r="Q13">
            <v>786934</v>
          </cell>
          <cell r="R13">
            <v>710472</v>
          </cell>
        </row>
        <row r="19">
          <cell r="B19" t="str">
            <v>Mobile subscriptions per 100 people</v>
          </cell>
          <cell r="M19">
            <v>1.859358641857809</v>
          </cell>
          <cell r="N19">
            <v>1.5217479744477584</v>
          </cell>
          <cell r="O19">
            <v>1.6279370454836737</v>
          </cell>
          <cell r="P19">
            <v>1.7190586534173582</v>
          </cell>
          <cell r="Q19">
            <v>1.8310422392785226</v>
          </cell>
          <cell r="R19">
            <v>1.675529193047653</v>
          </cell>
        </row>
        <row r="20">
          <cell r="B20" t="str">
            <v>Landlines per 100 people</v>
          </cell>
          <cell r="M20">
            <v>6.7089202436470929E-2</v>
          </cell>
          <cell r="N20">
            <v>4.9088644337024465E-2</v>
          </cell>
          <cell r="O20">
            <v>4.8216018875076407E-2</v>
          </cell>
          <cell r="P20">
            <v>4.4738816425151616E-2</v>
          </cell>
          <cell r="Q20">
            <v>4.1451873529757648E-2</v>
          </cell>
          <cell r="R20">
            <v>3.6626214238409581E-2</v>
          </cell>
        </row>
        <row r="22">
          <cell r="B22" t="str">
            <v>Mobile Broadband penetration</v>
          </cell>
          <cell r="M22">
            <v>1.859358641857809</v>
          </cell>
          <cell r="N22">
            <v>1.5217479744477584</v>
          </cell>
          <cell r="O22">
            <v>1.6279370454836737</v>
          </cell>
          <cell r="P22">
            <v>1.7190586534173582</v>
          </cell>
          <cell r="Q22">
            <v>1.8310422392785226</v>
          </cell>
          <cell r="R22">
            <v>1.675529193047653</v>
          </cell>
        </row>
      </sheetData>
      <sheetData sheetId="1">
        <row r="38">
          <cell r="AA38" t="str">
            <v>National Call Minutes in land 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B60"/>
  <sheetViews>
    <sheetView zoomScaleNormal="100" workbookViewId="0">
      <selection activeCell="A2" sqref="A2:AB2"/>
    </sheetView>
  </sheetViews>
  <sheetFormatPr defaultColWidth="9.140625" defaultRowHeight="15" x14ac:dyDescent="0.25"/>
  <cols>
    <col min="1" max="3" width="12.5703125" style="1" customWidth="1"/>
    <col min="4" max="4" width="2.42578125" style="1" customWidth="1"/>
    <col min="5" max="6" width="12.5703125" style="1" customWidth="1"/>
    <col min="7" max="7" width="2" style="1" customWidth="1"/>
    <col min="8" max="9" width="12.5703125" style="1" customWidth="1"/>
    <col min="10" max="10" width="2.28515625" style="1" customWidth="1"/>
    <col min="11" max="12" width="12.5703125" style="1" customWidth="1"/>
    <col min="13" max="13" width="2.28515625" style="1" customWidth="1"/>
    <col min="14" max="15" width="12.5703125" style="1" customWidth="1"/>
    <col min="16" max="16" width="1.28515625" style="1" customWidth="1"/>
    <col min="17" max="17" width="9.7109375" style="1" customWidth="1"/>
    <col min="18" max="18" width="11.140625" style="1" customWidth="1"/>
    <col min="19" max="19" width="1.28515625" style="1" customWidth="1"/>
    <col min="20" max="20" width="9.7109375" style="1" customWidth="1"/>
    <col min="21" max="21" width="11.140625" style="1" customWidth="1"/>
    <col min="22" max="22" width="1.28515625" style="1" customWidth="1"/>
    <col min="23" max="23" width="9.7109375" style="1" customWidth="1"/>
    <col min="24" max="24" width="11.140625" style="1" customWidth="1"/>
    <col min="25" max="25" width="1.28515625" style="1" customWidth="1"/>
    <col min="26" max="27" width="9.7109375" style="1" customWidth="1"/>
    <col min="28" max="28" width="13.7109375" style="1" customWidth="1"/>
    <col min="29" max="40" width="9.140625" style="1"/>
    <col min="41" max="41" width="25.7109375" style="1" customWidth="1"/>
    <col min="42" max="16384" width="9.140625" style="1"/>
  </cols>
  <sheetData>
    <row r="1" spans="1:29" ht="18" x14ac:dyDescent="0.25">
      <c r="A1" s="138" t="s">
        <v>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9" ht="15.75" x14ac:dyDescent="0.25">
      <c r="A2" s="132" t="s">
        <v>69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4" spans="1:29" s="8" customFormat="1" ht="19.5" x14ac:dyDescent="0.15">
      <c r="A4" s="133" t="s">
        <v>8</v>
      </c>
      <c r="B4" s="137" t="s">
        <v>34</v>
      </c>
      <c r="C4" s="137"/>
      <c r="D4" s="59"/>
      <c r="E4" s="137" t="s">
        <v>35</v>
      </c>
      <c r="F4" s="137"/>
      <c r="G4" s="59"/>
      <c r="H4" s="137" t="s">
        <v>36</v>
      </c>
      <c r="I4" s="137"/>
      <c r="J4" s="59"/>
      <c r="K4" s="137" t="s">
        <v>37</v>
      </c>
      <c r="L4" s="137"/>
      <c r="M4" s="59"/>
      <c r="N4" s="137" t="s">
        <v>38</v>
      </c>
      <c r="O4" s="137"/>
      <c r="P4" s="59"/>
      <c r="Q4" s="137" t="s">
        <v>39</v>
      </c>
      <c r="R4" s="137"/>
      <c r="S4" s="59"/>
      <c r="T4" s="137" t="s">
        <v>40</v>
      </c>
      <c r="U4" s="137"/>
      <c r="V4" s="59"/>
      <c r="W4" s="137" t="s">
        <v>41</v>
      </c>
      <c r="X4" s="137"/>
      <c r="Y4" s="59"/>
      <c r="Z4" s="137" t="s">
        <v>42</v>
      </c>
      <c r="AA4" s="137"/>
      <c r="AB4" s="139" t="s">
        <v>9</v>
      </c>
    </row>
    <row r="5" spans="1:29" s="11" customFormat="1" ht="15" customHeight="1" x14ac:dyDescent="0.25">
      <c r="A5" s="134"/>
      <c r="B5" s="136" t="s">
        <v>43</v>
      </c>
      <c r="C5" s="136"/>
      <c r="D5" s="10"/>
      <c r="E5" s="136" t="s">
        <v>44</v>
      </c>
      <c r="F5" s="136"/>
      <c r="G5" s="10"/>
      <c r="H5" s="136" t="s">
        <v>45</v>
      </c>
      <c r="I5" s="136"/>
      <c r="J5" s="10"/>
      <c r="K5" s="136" t="s">
        <v>46</v>
      </c>
      <c r="L5" s="136"/>
      <c r="M5" s="10"/>
      <c r="N5" s="136" t="s">
        <v>47</v>
      </c>
      <c r="O5" s="136"/>
      <c r="P5" s="10"/>
      <c r="Q5" s="136" t="s">
        <v>48</v>
      </c>
      <c r="R5" s="136"/>
      <c r="S5" s="10"/>
      <c r="T5" s="136" t="s">
        <v>49</v>
      </c>
      <c r="U5" s="136"/>
      <c r="V5" s="10"/>
      <c r="W5" s="136" t="s">
        <v>50</v>
      </c>
      <c r="X5" s="136"/>
      <c r="Y5" s="10"/>
      <c r="Z5" s="136" t="s">
        <v>51</v>
      </c>
      <c r="AA5" s="136"/>
      <c r="AB5" s="140"/>
      <c r="AC5" s="2"/>
    </row>
    <row r="6" spans="1:29" s="55" customFormat="1" ht="14.25" x14ac:dyDescent="0.2">
      <c r="A6" s="134"/>
      <c r="B6" s="50" t="s">
        <v>0</v>
      </c>
      <c r="C6" s="50" t="s">
        <v>1</v>
      </c>
      <c r="D6" s="50"/>
      <c r="E6" s="50" t="s">
        <v>0</v>
      </c>
      <c r="F6" s="50" t="s">
        <v>1</v>
      </c>
      <c r="G6" s="50"/>
      <c r="H6" s="50" t="s">
        <v>0</v>
      </c>
      <c r="I6" s="50" t="s">
        <v>1</v>
      </c>
      <c r="J6" s="50"/>
      <c r="K6" s="50" t="s">
        <v>0</v>
      </c>
      <c r="L6" s="50" t="s">
        <v>1</v>
      </c>
      <c r="M6" s="50"/>
      <c r="N6" s="50" t="s">
        <v>0</v>
      </c>
      <c r="O6" s="50" t="s">
        <v>1</v>
      </c>
      <c r="P6" s="50"/>
      <c r="Q6" s="50" t="s">
        <v>0</v>
      </c>
      <c r="R6" s="50" t="s">
        <v>1</v>
      </c>
      <c r="S6" s="50"/>
      <c r="T6" s="50" t="s">
        <v>0</v>
      </c>
      <c r="U6" s="50" t="s">
        <v>1</v>
      </c>
      <c r="V6" s="50"/>
      <c r="W6" s="50" t="s">
        <v>0</v>
      </c>
      <c r="X6" s="50" t="s">
        <v>1</v>
      </c>
      <c r="Y6" s="50"/>
      <c r="Z6" s="50" t="s">
        <v>0</v>
      </c>
      <c r="AA6" s="50" t="s">
        <v>1</v>
      </c>
      <c r="AB6" s="140"/>
    </row>
    <row r="7" spans="1:29" s="11" customFormat="1" ht="14.25" x14ac:dyDescent="0.2">
      <c r="A7" s="135"/>
      <c r="B7" s="52" t="s">
        <v>2</v>
      </c>
      <c r="C7" s="52" t="s">
        <v>3</v>
      </c>
      <c r="D7" s="52"/>
      <c r="E7" s="52" t="s">
        <v>2</v>
      </c>
      <c r="F7" s="52" t="s">
        <v>3</v>
      </c>
      <c r="G7" s="52"/>
      <c r="H7" s="52" t="s">
        <v>2</v>
      </c>
      <c r="I7" s="52" t="s">
        <v>3</v>
      </c>
      <c r="J7" s="52"/>
      <c r="K7" s="52" t="s">
        <v>2</v>
      </c>
      <c r="L7" s="52" t="s">
        <v>3</v>
      </c>
      <c r="M7" s="52"/>
      <c r="N7" s="52" t="s">
        <v>2</v>
      </c>
      <c r="O7" s="52" t="s">
        <v>3</v>
      </c>
      <c r="P7" s="52"/>
      <c r="Q7" s="52" t="s">
        <v>2</v>
      </c>
      <c r="R7" s="52" t="s">
        <v>3</v>
      </c>
      <c r="S7" s="52"/>
      <c r="T7" s="52" t="s">
        <v>2</v>
      </c>
      <c r="U7" s="52" t="s">
        <v>3</v>
      </c>
      <c r="V7" s="52"/>
      <c r="W7" s="52" t="s">
        <v>2</v>
      </c>
      <c r="X7" s="52" t="s">
        <v>3</v>
      </c>
      <c r="Y7" s="52"/>
      <c r="Z7" s="52" t="s">
        <v>2</v>
      </c>
      <c r="AA7" s="52" t="s">
        <v>3</v>
      </c>
      <c r="AB7" s="141"/>
    </row>
    <row r="8" spans="1:29" s="8" customFormat="1" ht="15.75" x14ac:dyDescent="0.15">
      <c r="A8" s="3" t="s">
        <v>4</v>
      </c>
      <c r="B8" s="12">
        <f>SUM(B9:B20)</f>
        <v>0</v>
      </c>
      <c r="C8" s="12">
        <f>SUM(C9:C20)</f>
        <v>0</v>
      </c>
      <c r="D8" s="12"/>
      <c r="E8" s="12">
        <f>SUM(E9:E20)</f>
        <v>0</v>
      </c>
      <c r="F8" s="12">
        <f>SUM(F9:F20)</f>
        <v>0</v>
      </c>
      <c r="G8" s="12"/>
      <c r="H8" s="12">
        <f>SUM(H9:H20)</f>
        <v>0</v>
      </c>
      <c r="I8" s="12">
        <f>SUM(I9:I20)</f>
        <v>0</v>
      </c>
      <c r="J8" s="12"/>
      <c r="K8" s="12">
        <f>SUM(K9:K20)</f>
        <v>0</v>
      </c>
      <c r="L8" s="12">
        <f>SUM(L9:L20)</f>
        <v>0</v>
      </c>
      <c r="M8" s="12"/>
      <c r="N8" s="12">
        <f>SUM(N9:N20)</f>
        <v>0</v>
      </c>
      <c r="O8" s="12">
        <f>SUM(O9:O20)</f>
        <v>0</v>
      </c>
      <c r="P8" s="12"/>
      <c r="Q8" s="12">
        <f>SUM(Q9:Q20)</f>
        <v>0</v>
      </c>
      <c r="R8" s="12">
        <f>SUM(R9:R20)</f>
        <v>0</v>
      </c>
      <c r="S8" s="12"/>
      <c r="T8" s="12">
        <f>SUM(T9:T20)</f>
        <v>0</v>
      </c>
      <c r="U8" s="12">
        <f>SUM(U9:U20)</f>
        <v>0</v>
      </c>
      <c r="V8" s="12"/>
      <c r="W8" s="12">
        <f>SUM(W9:W20)</f>
        <v>0</v>
      </c>
      <c r="X8" s="12">
        <f>SUM(X9:X20)</f>
        <v>0</v>
      </c>
      <c r="Y8" s="13"/>
      <c r="Z8" s="12">
        <f>SUM(Z9:Z20)</f>
        <v>0</v>
      </c>
      <c r="AA8" s="12">
        <f>SUM(AA9:AA20)</f>
        <v>0</v>
      </c>
      <c r="AB8" s="54" t="s">
        <v>5</v>
      </c>
    </row>
    <row r="9" spans="1:29" s="8" customFormat="1" ht="15.75" x14ac:dyDescent="0.4">
      <c r="A9" s="4" t="s">
        <v>10</v>
      </c>
      <c r="B9" s="66"/>
      <c r="C9" s="66"/>
      <c r="D9" s="66"/>
      <c r="E9" s="67"/>
      <c r="F9" s="67"/>
      <c r="G9" s="67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8"/>
      <c r="Z9" s="68"/>
      <c r="AA9" s="68"/>
      <c r="AB9" s="56" t="s">
        <v>11</v>
      </c>
    </row>
    <row r="10" spans="1:29" s="8" customFormat="1" ht="15.75" x14ac:dyDescent="0.4">
      <c r="A10" s="4" t="s">
        <v>12</v>
      </c>
      <c r="B10" s="66"/>
      <c r="C10" s="66"/>
      <c r="D10" s="66"/>
      <c r="E10" s="67"/>
      <c r="F10" s="67"/>
      <c r="G10" s="6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8"/>
      <c r="Z10" s="68"/>
      <c r="AA10" s="68"/>
      <c r="AB10" s="56" t="s">
        <v>13</v>
      </c>
    </row>
    <row r="11" spans="1:29" s="8" customFormat="1" ht="15.75" x14ac:dyDescent="0.4">
      <c r="A11" s="4" t="s">
        <v>14</v>
      </c>
      <c r="B11" s="66"/>
      <c r="C11" s="66"/>
      <c r="D11" s="66"/>
      <c r="E11" s="67"/>
      <c r="F11" s="67"/>
      <c r="G11" s="67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8"/>
      <c r="Z11" s="68"/>
      <c r="AA11" s="68"/>
      <c r="AB11" s="56" t="s">
        <v>15</v>
      </c>
    </row>
    <row r="12" spans="1:29" s="8" customFormat="1" ht="15.75" x14ac:dyDescent="0.4">
      <c r="A12" s="4" t="s">
        <v>16</v>
      </c>
      <c r="B12" s="66"/>
      <c r="C12" s="66"/>
      <c r="D12" s="66"/>
      <c r="E12" s="67"/>
      <c r="F12" s="67"/>
      <c r="G12" s="6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8"/>
      <c r="Z12" s="68"/>
      <c r="AA12" s="68"/>
      <c r="AB12" s="56" t="s">
        <v>17</v>
      </c>
    </row>
    <row r="13" spans="1:29" s="8" customFormat="1" ht="15.75" x14ac:dyDescent="0.4">
      <c r="A13" s="4" t="s">
        <v>18</v>
      </c>
      <c r="B13" s="66"/>
      <c r="C13" s="66"/>
      <c r="D13" s="66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8"/>
      <c r="Z13" s="68"/>
      <c r="AA13" s="68"/>
      <c r="AB13" s="56" t="s">
        <v>19</v>
      </c>
    </row>
    <row r="14" spans="1:29" s="8" customFormat="1" ht="15.75" x14ac:dyDescent="0.4">
      <c r="A14" s="4" t="s">
        <v>20</v>
      </c>
      <c r="B14" s="66"/>
      <c r="C14" s="66"/>
      <c r="D14" s="66"/>
      <c r="E14" s="67"/>
      <c r="F14" s="67"/>
      <c r="G14" s="6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8"/>
      <c r="Z14" s="68"/>
      <c r="AA14" s="68"/>
      <c r="AB14" s="56" t="s">
        <v>21</v>
      </c>
    </row>
    <row r="15" spans="1:29" s="8" customFormat="1" ht="15.75" x14ac:dyDescent="0.4">
      <c r="A15" s="4" t="s">
        <v>22</v>
      </c>
      <c r="B15" s="66"/>
      <c r="C15" s="66"/>
      <c r="D15" s="66"/>
      <c r="E15" s="67"/>
      <c r="F15" s="67"/>
      <c r="G15" s="6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8"/>
      <c r="Z15" s="68"/>
      <c r="AA15" s="68"/>
      <c r="AB15" s="56" t="s">
        <v>23</v>
      </c>
    </row>
    <row r="16" spans="1:29" s="8" customFormat="1" ht="15.75" x14ac:dyDescent="0.4">
      <c r="A16" s="4" t="s">
        <v>24</v>
      </c>
      <c r="B16" s="66"/>
      <c r="C16" s="66"/>
      <c r="D16" s="66"/>
      <c r="E16" s="67"/>
      <c r="F16" s="67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8"/>
      <c r="Z16" s="68"/>
      <c r="AA16" s="68"/>
      <c r="AB16" s="56" t="s">
        <v>25</v>
      </c>
    </row>
    <row r="17" spans="1:44" s="8" customFormat="1" ht="15.75" x14ac:dyDescent="0.4">
      <c r="A17" s="4" t="s">
        <v>26</v>
      </c>
      <c r="B17" s="66"/>
      <c r="C17" s="66"/>
      <c r="D17" s="66"/>
      <c r="E17" s="67"/>
      <c r="F17" s="67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8"/>
      <c r="Z17" s="68"/>
      <c r="AA17" s="68"/>
      <c r="AB17" s="56" t="s">
        <v>27</v>
      </c>
    </row>
    <row r="18" spans="1:44" s="8" customFormat="1" ht="15.75" x14ac:dyDescent="0.4">
      <c r="A18" s="4" t="s">
        <v>28</v>
      </c>
      <c r="B18" s="66"/>
      <c r="C18" s="66"/>
      <c r="D18" s="66"/>
      <c r="E18" s="67"/>
      <c r="F18" s="67"/>
      <c r="G18" s="6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8"/>
      <c r="Z18" s="68"/>
      <c r="AA18" s="68"/>
      <c r="AB18" s="56" t="s">
        <v>29</v>
      </c>
    </row>
    <row r="19" spans="1:44" s="8" customFormat="1" ht="15.75" x14ac:dyDescent="0.4">
      <c r="A19" s="4" t="s">
        <v>30</v>
      </c>
      <c r="B19" s="66"/>
      <c r="C19" s="66"/>
      <c r="D19" s="66"/>
      <c r="E19" s="67"/>
      <c r="F19" s="67"/>
      <c r="G19" s="6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8"/>
      <c r="Z19" s="68"/>
      <c r="AA19" s="68"/>
      <c r="AB19" s="56" t="s">
        <v>31</v>
      </c>
    </row>
    <row r="20" spans="1:44" s="8" customFormat="1" ht="15.75" x14ac:dyDescent="0.4">
      <c r="A20" s="51" t="s">
        <v>32</v>
      </c>
      <c r="B20" s="69"/>
      <c r="C20" s="69"/>
      <c r="D20" s="69"/>
      <c r="E20" s="70"/>
      <c r="F20" s="70"/>
      <c r="G20" s="70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1"/>
      <c r="Z20" s="71"/>
      <c r="AA20" s="71"/>
      <c r="AB20" s="57" t="s">
        <v>33</v>
      </c>
    </row>
    <row r="21" spans="1:44" ht="18.75" x14ac:dyDescent="0.25">
      <c r="A21" s="5" t="s">
        <v>6</v>
      </c>
      <c r="AB21" s="7" t="s">
        <v>7</v>
      </c>
      <c r="AO21" s="8"/>
      <c r="AP21" s="49" t="s">
        <v>2</v>
      </c>
      <c r="AQ21" s="49" t="s">
        <v>3</v>
      </c>
    </row>
    <row r="22" spans="1:44" ht="15" customHeight="1" x14ac:dyDescent="0.25">
      <c r="AN22" s="14"/>
      <c r="AO22" s="14" t="str">
        <f>B5</f>
        <v>L.Kadhdhoo</v>
      </c>
      <c r="AP22" s="1">
        <f>B8</f>
        <v>0</v>
      </c>
      <c r="AQ22" s="1">
        <f>C8</f>
        <v>0</v>
      </c>
    </row>
    <row r="23" spans="1:44" s="8" customFormat="1" ht="17.25" x14ac:dyDescent="0.4">
      <c r="B23" s="15"/>
      <c r="C23" s="16"/>
      <c r="D23" s="16"/>
      <c r="E23" s="16"/>
      <c r="F23" s="17"/>
      <c r="G23" s="17"/>
      <c r="R23" s="18"/>
      <c r="S23" s="18"/>
      <c r="U23" s="18"/>
      <c r="V23" s="18"/>
      <c r="X23" s="18"/>
      <c r="Y23" s="18"/>
      <c r="Z23" s="18"/>
      <c r="AA23" s="18"/>
      <c r="AB23" s="18"/>
      <c r="AE23" s="18"/>
      <c r="AM23" s="1"/>
      <c r="AN23" s="14"/>
      <c r="AO23" s="14" t="str">
        <f>E5</f>
        <v>GDh.Kaadedhdhoo</v>
      </c>
      <c r="AP23" s="1">
        <f>E8</f>
        <v>0</v>
      </c>
      <c r="AQ23" s="1">
        <f>F8</f>
        <v>0</v>
      </c>
    </row>
    <row r="24" spans="1:44" ht="18.75" x14ac:dyDescent="0.25">
      <c r="A24" s="4"/>
      <c r="Q24" s="9"/>
      <c r="T24" s="9"/>
      <c r="W24" s="9"/>
      <c r="AO24" s="8" t="str">
        <f>H5</f>
        <v xml:space="preserve">Gn.Fuvahmulah </v>
      </c>
      <c r="AP24" s="1">
        <f>H8</f>
        <v>0</v>
      </c>
      <c r="AQ24" s="1">
        <f>I8</f>
        <v>0</v>
      </c>
    </row>
    <row r="25" spans="1:44" s="8" customFormat="1" ht="17.25" x14ac:dyDescent="0.4">
      <c r="B25" s="15"/>
      <c r="C25" s="16"/>
      <c r="D25" s="16"/>
      <c r="E25" s="16"/>
      <c r="F25" s="17"/>
      <c r="G25" s="17"/>
      <c r="R25" s="18"/>
      <c r="S25" s="18"/>
      <c r="U25" s="18"/>
      <c r="V25" s="18"/>
      <c r="X25" s="18"/>
      <c r="Y25" s="18"/>
      <c r="Z25" s="18"/>
      <c r="AA25" s="18"/>
      <c r="AB25" s="18"/>
      <c r="AE25" s="18"/>
      <c r="AO25" s="1" t="str">
        <f>K5</f>
        <v>ADh.Maamigili</v>
      </c>
      <c r="AP25" s="1">
        <f>K8</f>
        <v>0</v>
      </c>
      <c r="AQ25" s="1">
        <f>L8</f>
        <v>0</v>
      </c>
    </row>
    <row r="26" spans="1:44" ht="18.75" x14ac:dyDescent="0.25">
      <c r="A26" s="4"/>
      <c r="Q26" s="9"/>
      <c r="T26" s="9"/>
      <c r="W26" s="9"/>
      <c r="AO26" s="1" t="str">
        <f>N5</f>
        <v>B.Dharavandhoo</v>
      </c>
      <c r="AP26" s="1">
        <f>N8</f>
        <v>0</v>
      </c>
      <c r="AQ26" s="1">
        <f>O8</f>
        <v>0</v>
      </c>
    </row>
    <row r="27" spans="1:44" x14ac:dyDescent="0.25">
      <c r="AO27" s="1" t="str">
        <f>Q5</f>
        <v>GA. Koodoo</v>
      </c>
      <c r="AP27" s="1">
        <f>Q8</f>
        <v>0</v>
      </c>
      <c r="AQ27" s="1">
        <f>R8</f>
        <v>0</v>
      </c>
    </row>
    <row r="28" spans="1:44" x14ac:dyDescent="0.25">
      <c r="AO28" s="1" t="s">
        <v>52</v>
      </c>
      <c r="AP28" s="1">
        <f>T8</f>
        <v>0</v>
      </c>
      <c r="AQ28" s="1">
        <f>U8</f>
        <v>0</v>
      </c>
    </row>
    <row r="29" spans="1:44" ht="17.25" x14ac:dyDescent="0.4">
      <c r="D29" s="16"/>
      <c r="E29" s="16"/>
      <c r="F29" s="17"/>
      <c r="G29" s="17"/>
      <c r="AO29" s="1" t="str">
        <f>W5</f>
        <v xml:space="preserve">R.Ifuru  </v>
      </c>
      <c r="AP29" s="1">
        <f>W8</f>
        <v>0</v>
      </c>
      <c r="AQ29" s="1">
        <f>X8</f>
        <v>0</v>
      </c>
    </row>
    <row r="30" spans="1:44" x14ac:dyDescent="0.25">
      <c r="AO30" s="1" t="str">
        <f>Z5</f>
        <v>Dh.kudahuvadhoo</v>
      </c>
      <c r="AP30" s="1">
        <f>Z8</f>
        <v>0</v>
      </c>
      <c r="AQ30" s="1">
        <f>AA8</f>
        <v>0</v>
      </c>
    </row>
    <row r="32" spans="1:44" x14ac:dyDescent="0.25">
      <c r="AP32" s="1">
        <f>SUM(AP22:AP30)</f>
        <v>0</v>
      </c>
      <c r="AQ32" s="1">
        <f>SUM(AQ22:AQ30)</f>
        <v>0</v>
      </c>
      <c r="AR32" s="1">
        <f>SUM(AP32:AQ32)</f>
        <v>0</v>
      </c>
    </row>
    <row r="44" spans="1:80" s="63" customFormat="1" ht="21.75" customHeight="1" x14ac:dyDescent="0.55000000000000004">
      <c r="A44" s="142" t="s">
        <v>8</v>
      </c>
      <c r="B44" s="75"/>
      <c r="D44" s="76"/>
      <c r="F44" s="76"/>
      <c r="G44" s="145" t="s">
        <v>34</v>
      </c>
      <c r="H44" s="146"/>
      <c r="I44" s="146"/>
      <c r="J44" s="146"/>
      <c r="K44" s="147"/>
      <c r="L44" s="62"/>
      <c r="M44" s="77"/>
      <c r="N44" s="62"/>
      <c r="O44" s="77"/>
      <c r="P44" s="148" t="s">
        <v>35</v>
      </c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76"/>
      <c r="AC44" s="150" t="s">
        <v>36</v>
      </c>
      <c r="AD44" s="151"/>
      <c r="AE44" s="151"/>
      <c r="AF44" s="151"/>
      <c r="AG44" s="151"/>
      <c r="AH44" s="151"/>
      <c r="AI44" s="151"/>
      <c r="AJ44" s="151"/>
      <c r="AK44" s="61"/>
      <c r="AL44" s="150" t="s">
        <v>37</v>
      </c>
      <c r="AM44" s="151"/>
      <c r="AN44" s="151"/>
      <c r="AO44" s="151"/>
      <c r="AP44" s="151"/>
      <c r="AQ44" s="151"/>
      <c r="AR44" s="151"/>
      <c r="AS44" s="61"/>
      <c r="AT44" s="150" t="s">
        <v>38</v>
      </c>
      <c r="AU44" s="151"/>
      <c r="AV44" s="151"/>
      <c r="AW44" s="151"/>
      <c r="AX44" s="151"/>
      <c r="AY44" s="72"/>
      <c r="AZ44" s="61"/>
      <c r="BA44" s="150" t="s">
        <v>39</v>
      </c>
      <c r="BB44" s="151"/>
      <c r="BC44" s="151"/>
      <c r="BD44" s="151"/>
      <c r="BE44" s="168"/>
      <c r="BF44" s="60"/>
      <c r="BG44" s="169" t="s">
        <v>40</v>
      </c>
      <c r="BH44" s="170"/>
      <c r="BI44" s="170"/>
      <c r="BJ44" s="170"/>
      <c r="BK44" s="171"/>
      <c r="BL44" s="150" t="s">
        <v>41</v>
      </c>
      <c r="BM44" s="151"/>
      <c r="BN44" s="151"/>
      <c r="BO44" s="151"/>
      <c r="BP44" s="168"/>
      <c r="BQ44" s="150" t="s">
        <v>42</v>
      </c>
      <c r="BR44" s="151"/>
      <c r="BS44" s="151"/>
      <c r="BT44" s="152" t="s">
        <v>9</v>
      </c>
    </row>
    <row r="45" spans="1:80" s="64" customFormat="1" ht="16.5" customHeight="1" x14ac:dyDescent="0.25">
      <c r="A45" s="143"/>
      <c r="B45" s="78"/>
      <c r="D45" s="79"/>
      <c r="F45" s="79"/>
      <c r="G45" s="155" t="s">
        <v>43</v>
      </c>
      <c r="H45" s="156"/>
      <c r="I45" s="156"/>
      <c r="J45" s="156"/>
      <c r="K45" s="157"/>
      <c r="M45" s="79"/>
      <c r="O45" s="79"/>
      <c r="P45" s="158" t="s">
        <v>44</v>
      </c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79"/>
      <c r="AC45" s="160" t="s">
        <v>61</v>
      </c>
      <c r="AD45" s="161"/>
      <c r="AE45" s="161"/>
      <c r="AF45" s="161"/>
      <c r="AG45" s="161"/>
      <c r="AH45" s="161"/>
      <c r="AI45" s="161"/>
      <c r="AJ45" s="161"/>
      <c r="AK45" s="65"/>
      <c r="AL45" s="160" t="s">
        <v>62</v>
      </c>
      <c r="AM45" s="161"/>
      <c r="AN45" s="161"/>
      <c r="AO45" s="161"/>
      <c r="AP45" s="161"/>
      <c r="AQ45" s="161"/>
      <c r="AR45" s="161"/>
      <c r="AS45" s="65"/>
      <c r="AT45" s="160" t="s">
        <v>63</v>
      </c>
      <c r="AU45" s="161"/>
      <c r="AV45" s="161"/>
      <c r="AW45" s="161"/>
      <c r="AX45" s="161"/>
      <c r="AY45" s="73"/>
      <c r="AZ45" s="65"/>
      <c r="BA45" s="162" t="s">
        <v>64</v>
      </c>
      <c r="BB45" s="163"/>
      <c r="BC45" s="163"/>
      <c r="BD45" s="163"/>
      <c r="BE45" s="164"/>
      <c r="BG45" s="165" t="s">
        <v>65</v>
      </c>
      <c r="BH45" s="166"/>
      <c r="BI45" s="166"/>
      <c r="BJ45" s="166"/>
      <c r="BK45" s="167"/>
      <c r="BL45" s="162" t="s">
        <v>66</v>
      </c>
      <c r="BM45" s="163"/>
      <c r="BN45" s="163"/>
      <c r="BO45" s="163"/>
      <c r="BP45" s="164"/>
      <c r="BQ45" s="162" t="s">
        <v>67</v>
      </c>
      <c r="BR45" s="163"/>
      <c r="BS45" s="163"/>
      <c r="BT45" s="153"/>
    </row>
    <row r="46" spans="1:80" ht="23.25" customHeight="1" x14ac:dyDescent="0.25">
      <c r="A46" s="144"/>
      <c r="B46" s="80"/>
      <c r="C46" s="81">
        <v>2011</v>
      </c>
      <c r="D46" s="81">
        <v>2012</v>
      </c>
      <c r="E46" s="82">
        <v>2013</v>
      </c>
      <c r="F46" s="83">
        <v>2014</v>
      </c>
      <c r="G46" s="84">
        <v>2015</v>
      </c>
      <c r="H46" s="85">
        <v>2016</v>
      </c>
      <c r="I46" s="86">
        <v>2017</v>
      </c>
      <c r="J46" s="86">
        <v>2018</v>
      </c>
      <c r="K46" s="86">
        <v>2019</v>
      </c>
      <c r="L46" s="87">
        <v>2011</v>
      </c>
      <c r="M46" s="87">
        <v>2012</v>
      </c>
      <c r="N46" s="87">
        <v>2013</v>
      </c>
      <c r="O46" s="86">
        <v>2014</v>
      </c>
      <c r="P46" s="84">
        <v>2015</v>
      </c>
      <c r="Q46" s="86">
        <v>2016</v>
      </c>
      <c r="R46" s="87">
        <v>2011</v>
      </c>
      <c r="S46" s="87">
        <v>2012</v>
      </c>
      <c r="T46" s="86">
        <v>2013</v>
      </c>
      <c r="U46" s="86">
        <v>2014</v>
      </c>
      <c r="V46" s="87">
        <v>2011</v>
      </c>
      <c r="W46" s="87">
        <v>2012</v>
      </c>
      <c r="X46" s="86">
        <v>2013</v>
      </c>
      <c r="Y46" s="86">
        <v>2017</v>
      </c>
      <c r="Z46" s="86">
        <v>2018</v>
      </c>
      <c r="AA46" s="88">
        <v>2019</v>
      </c>
      <c r="AB46" s="86">
        <v>2014</v>
      </c>
      <c r="AC46" s="21">
        <v>2015</v>
      </c>
      <c r="AD46" s="21">
        <v>2016</v>
      </c>
      <c r="AE46" s="53">
        <v>2011</v>
      </c>
      <c r="AF46" s="53">
        <v>2012</v>
      </c>
      <c r="AG46" s="53">
        <v>2013</v>
      </c>
      <c r="AH46" s="21">
        <v>2017</v>
      </c>
      <c r="AI46" s="21">
        <v>2018</v>
      </c>
      <c r="AJ46" s="21">
        <v>2019</v>
      </c>
      <c r="AK46" s="21">
        <v>2014</v>
      </c>
      <c r="AL46" s="20">
        <v>2015</v>
      </c>
      <c r="AM46" s="21">
        <v>2016</v>
      </c>
      <c r="AN46" s="21">
        <v>2017</v>
      </c>
      <c r="AO46" s="21">
        <v>2018</v>
      </c>
      <c r="AP46" s="53">
        <v>2012</v>
      </c>
      <c r="AQ46" s="53">
        <v>2013</v>
      </c>
      <c r="AR46" s="21">
        <v>2019</v>
      </c>
      <c r="AS46" s="21">
        <v>2014</v>
      </c>
      <c r="AT46" s="20">
        <v>2015</v>
      </c>
      <c r="AU46" s="21">
        <v>2016</v>
      </c>
      <c r="AV46" s="53">
        <v>2013</v>
      </c>
      <c r="AW46" s="21">
        <v>2017</v>
      </c>
      <c r="AX46" s="21">
        <v>2018</v>
      </c>
      <c r="AY46" s="21">
        <v>2019</v>
      </c>
      <c r="AZ46" s="53">
        <v>2014</v>
      </c>
      <c r="BA46" s="20">
        <v>2015</v>
      </c>
      <c r="BB46" s="21">
        <v>2016</v>
      </c>
      <c r="BC46" s="21">
        <v>2017</v>
      </c>
      <c r="BD46" s="21">
        <v>2018</v>
      </c>
      <c r="BE46" s="21">
        <v>2019</v>
      </c>
      <c r="BF46" s="53">
        <v>2014</v>
      </c>
      <c r="BG46" s="20">
        <v>2015</v>
      </c>
      <c r="BH46" s="21">
        <v>2016</v>
      </c>
      <c r="BI46" s="21">
        <v>2017</v>
      </c>
      <c r="BJ46" s="21">
        <v>2018</v>
      </c>
      <c r="BK46" s="22">
        <v>2019</v>
      </c>
      <c r="BL46" s="23">
        <v>2015</v>
      </c>
      <c r="BM46" s="21">
        <v>2016</v>
      </c>
      <c r="BN46" s="21">
        <v>2017</v>
      </c>
      <c r="BO46" s="21">
        <v>2018</v>
      </c>
      <c r="BP46" s="21">
        <v>2019</v>
      </c>
      <c r="BQ46" s="20">
        <v>2017</v>
      </c>
      <c r="BR46" s="21">
        <v>2018</v>
      </c>
      <c r="BS46" s="21">
        <v>2019</v>
      </c>
      <c r="BT46" s="154"/>
      <c r="BU46" s="2"/>
    </row>
    <row r="47" spans="1:80" ht="23.25" customHeight="1" x14ac:dyDescent="0.4">
      <c r="A47" s="24" t="s">
        <v>4</v>
      </c>
      <c r="B47" s="24"/>
      <c r="C47" s="25">
        <f t="shared" ref="C47:AZ47" si="0">SUM(C48:C59)</f>
        <v>1542</v>
      </c>
      <c r="D47" s="25">
        <f t="shared" si="0"/>
        <v>1816</v>
      </c>
      <c r="E47" s="25">
        <f t="shared" si="0"/>
        <v>2310</v>
      </c>
      <c r="F47" s="26">
        <f t="shared" si="0"/>
        <v>2220</v>
      </c>
      <c r="G47" s="27">
        <f t="shared" si="0"/>
        <v>2088</v>
      </c>
      <c r="H47" s="28">
        <f t="shared" si="0"/>
        <v>2392</v>
      </c>
      <c r="I47" s="29">
        <f t="shared" si="0"/>
        <v>2619</v>
      </c>
      <c r="J47" s="29">
        <f t="shared" si="0"/>
        <v>2559</v>
      </c>
      <c r="K47" s="29">
        <f t="shared" si="0"/>
        <v>2583</v>
      </c>
      <c r="L47" s="29">
        <f t="shared" si="0"/>
        <v>3226</v>
      </c>
      <c r="M47" s="29">
        <f t="shared" si="0"/>
        <v>3982</v>
      </c>
      <c r="N47" s="29">
        <f t="shared" si="0"/>
        <v>4121</v>
      </c>
      <c r="O47" s="29">
        <f t="shared" si="0"/>
        <v>4410</v>
      </c>
      <c r="P47" s="27">
        <f>SUM(P48:P59)</f>
        <v>4290</v>
      </c>
      <c r="Q47" s="29">
        <f t="shared" ref="Q47" si="1">SUM(Q48:Q59)</f>
        <v>4978</v>
      </c>
      <c r="R47" s="29">
        <f t="shared" si="0"/>
        <v>1637</v>
      </c>
      <c r="S47" s="29">
        <f t="shared" si="0"/>
        <v>1397</v>
      </c>
      <c r="T47" s="29">
        <f t="shared" si="0"/>
        <v>1949</v>
      </c>
      <c r="U47" s="29">
        <f t="shared" si="0"/>
        <v>1977</v>
      </c>
      <c r="V47" s="29">
        <f t="shared" si="0"/>
        <v>262</v>
      </c>
      <c r="W47" s="29">
        <f t="shared" si="0"/>
        <v>710</v>
      </c>
      <c r="X47" s="29">
        <f>SUM(X48:X59)</f>
        <v>2432</v>
      </c>
      <c r="Y47" s="29">
        <f t="shared" ref="Y47:AB47" si="2">SUM(Y48:Y59)</f>
        <v>5182</v>
      </c>
      <c r="Z47" s="29">
        <f t="shared" si="2"/>
        <v>4726</v>
      </c>
      <c r="AA47" s="30">
        <f t="shared" si="2"/>
        <v>4794</v>
      </c>
      <c r="AB47" s="29">
        <f t="shared" si="2"/>
        <v>2773</v>
      </c>
      <c r="AC47" s="29">
        <f>SUM(AC48:AC59)</f>
        <v>2151</v>
      </c>
      <c r="AD47" s="29">
        <f t="shared" ref="AD47" si="3">SUM(AD48:AD59)</f>
        <v>1998</v>
      </c>
      <c r="AE47" s="29">
        <f t="shared" si="0"/>
        <v>769</v>
      </c>
      <c r="AF47" s="29">
        <f t="shared" si="0"/>
        <v>3315</v>
      </c>
      <c r="AG47" s="29">
        <f>SUM(AG48:AG59)</f>
        <v>4519</v>
      </c>
      <c r="AH47" s="29">
        <f t="shared" ref="AH47:AK47" si="4">SUM(AH48:AH59)</f>
        <v>1845</v>
      </c>
      <c r="AI47" s="29">
        <f t="shared" si="4"/>
        <v>1799</v>
      </c>
      <c r="AJ47" s="29">
        <f t="shared" si="4"/>
        <v>2485</v>
      </c>
      <c r="AK47" s="29">
        <f t="shared" si="4"/>
        <v>4924</v>
      </c>
      <c r="AL47" s="27">
        <f>SUM(AL48:AL59)</f>
        <v>4265</v>
      </c>
      <c r="AM47" s="29">
        <f t="shared" ref="AM47:AO47" si="5">SUM(AM48:AM59)</f>
        <v>3963</v>
      </c>
      <c r="AN47" s="29">
        <f t="shared" si="5"/>
        <v>4305</v>
      </c>
      <c r="AO47" s="29">
        <f t="shared" si="5"/>
        <v>4824</v>
      </c>
      <c r="AP47" s="29">
        <f t="shared" si="0"/>
        <v>173</v>
      </c>
      <c r="AQ47" s="29">
        <f t="shared" si="0"/>
        <v>3515</v>
      </c>
      <c r="AR47" s="29">
        <f t="shared" si="0"/>
        <v>4798</v>
      </c>
      <c r="AS47" s="29">
        <f t="shared" si="0"/>
        <v>4248</v>
      </c>
      <c r="AT47" s="27">
        <f>SUM(AT48:AT59)</f>
        <v>3934</v>
      </c>
      <c r="AU47" s="29">
        <f t="shared" ref="AU47:AY47" si="6">SUM(AU48:AU59)</f>
        <v>3870</v>
      </c>
      <c r="AV47" s="29">
        <f t="shared" si="0"/>
        <v>2906</v>
      </c>
      <c r="AW47" s="29">
        <f t="shared" si="0"/>
        <v>4198</v>
      </c>
      <c r="AX47" s="29">
        <f t="shared" si="6"/>
        <v>4532</v>
      </c>
      <c r="AY47" s="29">
        <f t="shared" si="6"/>
        <v>5159</v>
      </c>
      <c r="AZ47" s="29">
        <f t="shared" si="0"/>
        <v>2076</v>
      </c>
      <c r="BA47" s="27">
        <f>SUM(BA48:BA59)</f>
        <v>1988</v>
      </c>
      <c r="BB47" s="29">
        <f t="shared" ref="BB47:BF47" si="7">SUM(BB48:BB59)</f>
        <v>1916</v>
      </c>
      <c r="BC47" s="29">
        <f t="shared" si="7"/>
        <v>1916</v>
      </c>
      <c r="BD47" s="29">
        <f t="shared" si="7"/>
        <v>1975</v>
      </c>
      <c r="BE47" s="29">
        <f t="shared" si="7"/>
        <v>2043</v>
      </c>
      <c r="BF47" s="29">
        <f t="shared" si="7"/>
        <v>826</v>
      </c>
      <c r="BG47" s="27">
        <f>SUM(BG48:BG59)</f>
        <v>331</v>
      </c>
      <c r="BH47" s="29">
        <f t="shared" ref="BH47:BK47" si="8">SUM(BH48:BH59)</f>
        <v>269</v>
      </c>
      <c r="BI47" s="29">
        <f t="shared" si="8"/>
        <v>245</v>
      </c>
      <c r="BJ47" s="29">
        <f t="shared" si="8"/>
        <v>246</v>
      </c>
      <c r="BK47" s="30">
        <f t="shared" si="8"/>
        <v>241</v>
      </c>
      <c r="BL47" s="27">
        <f>SUM(BL48:BL59)</f>
        <v>552</v>
      </c>
      <c r="BM47" s="29">
        <f t="shared" ref="BM47:BS47" si="9">SUM(BM48:BM59)</f>
        <v>1475</v>
      </c>
      <c r="BN47" s="29">
        <f t="shared" si="9"/>
        <v>1911</v>
      </c>
      <c r="BO47" s="29">
        <f t="shared" si="9"/>
        <v>1898</v>
      </c>
      <c r="BP47" s="29">
        <f t="shared" si="9"/>
        <v>1940</v>
      </c>
      <c r="BQ47" s="27">
        <f t="shared" si="9"/>
        <v>488</v>
      </c>
      <c r="BR47" s="31">
        <f t="shared" si="9"/>
        <v>1941</v>
      </c>
      <c r="BS47" s="31">
        <f t="shared" si="9"/>
        <v>2224</v>
      </c>
      <c r="BT47" s="58" t="s">
        <v>5</v>
      </c>
    </row>
    <row r="48" spans="1:80" ht="23.25" customHeight="1" x14ac:dyDescent="0.4">
      <c r="A48" s="32" t="s">
        <v>10</v>
      </c>
      <c r="B48" s="32"/>
      <c r="C48" s="33">
        <v>87</v>
      </c>
      <c r="D48" s="33">
        <v>140</v>
      </c>
      <c r="E48" s="33">
        <v>189</v>
      </c>
      <c r="F48" s="34">
        <v>215</v>
      </c>
      <c r="G48" s="35">
        <v>166</v>
      </c>
      <c r="H48" s="36">
        <v>174</v>
      </c>
      <c r="I48" s="37">
        <v>199</v>
      </c>
      <c r="J48" s="37">
        <v>264</v>
      </c>
      <c r="K48" s="37">
        <v>232</v>
      </c>
      <c r="L48" s="38">
        <v>290</v>
      </c>
      <c r="M48" s="38">
        <v>428</v>
      </c>
      <c r="N48" s="38">
        <v>290</v>
      </c>
      <c r="O48" s="37">
        <v>356</v>
      </c>
      <c r="P48" s="35">
        <v>376</v>
      </c>
      <c r="Q48" s="37">
        <v>400</v>
      </c>
      <c r="R48" s="37">
        <v>137</v>
      </c>
      <c r="S48" s="37">
        <v>111</v>
      </c>
      <c r="T48" s="37">
        <v>175</v>
      </c>
      <c r="U48" s="37">
        <v>164</v>
      </c>
      <c r="V48" s="39" t="s">
        <v>53</v>
      </c>
      <c r="W48" s="37">
        <v>48</v>
      </c>
      <c r="X48" s="37">
        <v>115</v>
      </c>
      <c r="Y48" s="37">
        <v>496</v>
      </c>
      <c r="Z48" s="37">
        <v>406</v>
      </c>
      <c r="AA48" s="40">
        <v>408</v>
      </c>
      <c r="AB48" s="37">
        <v>227</v>
      </c>
      <c r="AC48" s="37">
        <v>230</v>
      </c>
      <c r="AD48" s="37">
        <v>166</v>
      </c>
      <c r="AE48" s="39" t="s">
        <v>53</v>
      </c>
      <c r="AF48" s="37">
        <v>351</v>
      </c>
      <c r="AG48" s="37">
        <v>339</v>
      </c>
      <c r="AH48" s="37">
        <v>157</v>
      </c>
      <c r="AI48" s="37">
        <v>117</v>
      </c>
      <c r="AJ48" s="37">
        <v>261</v>
      </c>
      <c r="AK48" s="37">
        <v>400</v>
      </c>
      <c r="AL48" s="35">
        <v>359</v>
      </c>
      <c r="AM48" s="37">
        <v>339</v>
      </c>
      <c r="AN48" s="37">
        <v>321</v>
      </c>
      <c r="AO48" s="37">
        <v>400</v>
      </c>
      <c r="AP48" s="39" t="s">
        <v>53</v>
      </c>
      <c r="AQ48" s="37">
        <v>191</v>
      </c>
      <c r="AR48" s="37">
        <v>441</v>
      </c>
      <c r="AS48" s="37">
        <v>361</v>
      </c>
      <c r="AT48" s="35">
        <v>331</v>
      </c>
      <c r="AU48" s="37">
        <v>342</v>
      </c>
      <c r="AV48" s="37">
        <v>288</v>
      </c>
      <c r="AW48" s="37">
        <v>351</v>
      </c>
      <c r="AX48" s="37">
        <v>415</v>
      </c>
      <c r="AY48" s="37">
        <v>414</v>
      </c>
      <c r="AZ48" s="37">
        <v>174</v>
      </c>
      <c r="BA48" s="35">
        <v>181</v>
      </c>
      <c r="BB48" s="37">
        <v>164</v>
      </c>
      <c r="BC48" s="37">
        <v>155</v>
      </c>
      <c r="BD48" s="37">
        <v>179</v>
      </c>
      <c r="BE48" s="37">
        <v>169</v>
      </c>
      <c r="BF48" s="37">
        <v>57</v>
      </c>
      <c r="BG48" s="35">
        <v>30</v>
      </c>
      <c r="BH48" s="37">
        <v>29</v>
      </c>
      <c r="BI48" s="37">
        <v>19</v>
      </c>
      <c r="BJ48" s="37">
        <v>23</v>
      </c>
      <c r="BK48" s="40">
        <v>24</v>
      </c>
      <c r="BL48" s="35" t="s">
        <v>54</v>
      </c>
      <c r="BM48" s="37">
        <v>124</v>
      </c>
      <c r="BN48" s="37">
        <v>142</v>
      </c>
      <c r="BO48" s="37">
        <v>178</v>
      </c>
      <c r="BP48" s="37">
        <v>156</v>
      </c>
      <c r="BQ48" s="35" t="s">
        <v>54</v>
      </c>
      <c r="BR48" s="37">
        <v>171</v>
      </c>
      <c r="BS48" s="37">
        <v>176</v>
      </c>
      <c r="BT48" s="56" t="s">
        <v>11</v>
      </c>
      <c r="BY48" s="19"/>
      <c r="BZ48" s="19"/>
      <c r="CA48" s="19"/>
      <c r="CB48" s="19"/>
    </row>
    <row r="49" spans="1:80" ht="23.25" customHeight="1" x14ac:dyDescent="0.4">
      <c r="A49" s="32" t="s">
        <v>12</v>
      </c>
      <c r="B49" s="32"/>
      <c r="C49" s="33">
        <v>69</v>
      </c>
      <c r="D49" s="33">
        <v>128</v>
      </c>
      <c r="E49" s="33">
        <v>161</v>
      </c>
      <c r="F49" s="34">
        <v>192</v>
      </c>
      <c r="G49" s="35">
        <v>161</v>
      </c>
      <c r="H49" s="36">
        <v>195</v>
      </c>
      <c r="I49" s="37">
        <v>195</v>
      </c>
      <c r="J49" s="37">
        <v>213</v>
      </c>
      <c r="K49" s="37">
        <v>223</v>
      </c>
      <c r="L49" s="38">
        <v>268</v>
      </c>
      <c r="M49" s="38">
        <v>332</v>
      </c>
      <c r="N49" s="38">
        <v>314</v>
      </c>
      <c r="O49" s="37">
        <v>360</v>
      </c>
      <c r="P49" s="35">
        <v>336</v>
      </c>
      <c r="Q49" s="37">
        <v>428</v>
      </c>
      <c r="R49" s="37">
        <v>185</v>
      </c>
      <c r="S49" s="37">
        <v>109</v>
      </c>
      <c r="T49" s="37">
        <v>158</v>
      </c>
      <c r="U49" s="37">
        <v>176</v>
      </c>
      <c r="V49" s="39" t="s">
        <v>53</v>
      </c>
      <c r="W49" s="37">
        <v>40</v>
      </c>
      <c r="X49" s="37">
        <v>83</v>
      </c>
      <c r="Y49" s="37">
        <v>462</v>
      </c>
      <c r="Z49" s="37">
        <v>408</v>
      </c>
      <c r="AA49" s="40">
        <v>356</v>
      </c>
      <c r="AB49" s="37">
        <v>212</v>
      </c>
      <c r="AC49" s="37">
        <v>199</v>
      </c>
      <c r="AD49" s="37">
        <v>120</v>
      </c>
      <c r="AE49" s="39" t="s">
        <v>53</v>
      </c>
      <c r="AF49" s="37">
        <v>351</v>
      </c>
      <c r="AG49" s="37">
        <v>427</v>
      </c>
      <c r="AH49" s="37">
        <v>102</v>
      </c>
      <c r="AI49" s="37">
        <v>89</v>
      </c>
      <c r="AJ49" s="37">
        <v>221</v>
      </c>
      <c r="AK49" s="37">
        <v>380</v>
      </c>
      <c r="AL49" s="35">
        <v>407</v>
      </c>
      <c r="AM49" s="37">
        <v>323</v>
      </c>
      <c r="AN49" s="37">
        <v>260</v>
      </c>
      <c r="AO49" s="37">
        <v>373</v>
      </c>
      <c r="AP49" s="39" t="s">
        <v>53</v>
      </c>
      <c r="AQ49" s="37">
        <v>213</v>
      </c>
      <c r="AR49" s="37">
        <v>375</v>
      </c>
      <c r="AS49" s="37">
        <v>356</v>
      </c>
      <c r="AT49" s="35">
        <v>304</v>
      </c>
      <c r="AU49" s="37">
        <v>320</v>
      </c>
      <c r="AV49" s="37">
        <v>304</v>
      </c>
      <c r="AW49" s="37">
        <v>308</v>
      </c>
      <c r="AX49" s="37">
        <v>365</v>
      </c>
      <c r="AY49" s="37">
        <v>376</v>
      </c>
      <c r="AZ49" s="37">
        <v>159</v>
      </c>
      <c r="BA49" s="35">
        <v>169</v>
      </c>
      <c r="BB49" s="37">
        <v>159</v>
      </c>
      <c r="BC49" s="37">
        <v>161</v>
      </c>
      <c r="BD49" s="37">
        <v>164</v>
      </c>
      <c r="BE49" s="37">
        <v>164</v>
      </c>
      <c r="BF49" s="37">
        <v>83</v>
      </c>
      <c r="BG49" s="35">
        <v>23</v>
      </c>
      <c r="BH49" s="37">
        <v>23</v>
      </c>
      <c r="BI49" s="37">
        <v>17</v>
      </c>
      <c r="BJ49" s="37">
        <v>15</v>
      </c>
      <c r="BK49" s="40">
        <v>19</v>
      </c>
      <c r="BL49" s="35" t="s">
        <v>54</v>
      </c>
      <c r="BM49" s="37">
        <v>143</v>
      </c>
      <c r="BN49" s="37">
        <v>136</v>
      </c>
      <c r="BO49" s="37">
        <v>180</v>
      </c>
      <c r="BP49" s="37">
        <v>161</v>
      </c>
      <c r="BQ49" s="35" t="s">
        <v>54</v>
      </c>
      <c r="BR49" s="37">
        <v>168</v>
      </c>
      <c r="BS49" s="37">
        <v>181</v>
      </c>
      <c r="BT49" s="56" t="s">
        <v>13</v>
      </c>
    </row>
    <row r="50" spans="1:80" ht="23.25" customHeight="1" x14ac:dyDescent="0.4">
      <c r="A50" s="32" t="s">
        <v>14</v>
      </c>
      <c r="B50" s="32"/>
      <c r="C50" s="33">
        <v>80</v>
      </c>
      <c r="D50" s="33">
        <v>161</v>
      </c>
      <c r="E50" s="33">
        <v>184</v>
      </c>
      <c r="F50" s="34">
        <v>214</v>
      </c>
      <c r="G50" s="35">
        <v>173</v>
      </c>
      <c r="H50" s="36">
        <v>201</v>
      </c>
      <c r="I50" s="37">
        <v>193</v>
      </c>
      <c r="J50" s="37">
        <v>258</v>
      </c>
      <c r="K50" s="37">
        <v>218</v>
      </c>
      <c r="L50" s="38">
        <v>202</v>
      </c>
      <c r="M50" s="38">
        <v>320</v>
      </c>
      <c r="N50" s="38">
        <v>358</v>
      </c>
      <c r="O50" s="37">
        <v>388</v>
      </c>
      <c r="P50" s="35">
        <v>396</v>
      </c>
      <c r="Q50" s="37">
        <v>402</v>
      </c>
      <c r="R50" s="37">
        <v>131</v>
      </c>
      <c r="S50" s="37">
        <v>98</v>
      </c>
      <c r="T50" s="37">
        <v>141</v>
      </c>
      <c r="U50" s="37">
        <v>190</v>
      </c>
      <c r="V50" s="39" t="s">
        <v>53</v>
      </c>
      <c r="W50" s="37">
        <v>56</v>
      </c>
      <c r="X50" s="37">
        <v>197</v>
      </c>
      <c r="Y50" s="37">
        <v>446</v>
      </c>
      <c r="Z50" s="37">
        <v>388</v>
      </c>
      <c r="AA50" s="40">
        <v>400</v>
      </c>
      <c r="AB50" s="37">
        <v>246</v>
      </c>
      <c r="AC50" s="37">
        <v>235</v>
      </c>
      <c r="AD50" s="37">
        <v>168</v>
      </c>
      <c r="AE50" s="39" t="s">
        <v>53</v>
      </c>
      <c r="AF50" s="37">
        <v>233</v>
      </c>
      <c r="AG50" s="37">
        <v>348</v>
      </c>
      <c r="AH50" s="37">
        <v>183</v>
      </c>
      <c r="AI50" s="37">
        <v>149</v>
      </c>
      <c r="AJ50" s="37">
        <v>277</v>
      </c>
      <c r="AK50" s="37">
        <v>391</v>
      </c>
      <c r="AL50" s="35">
        <v>377</v>
      </c>
      <c r="AM50" s="37">
        <v>314</v>
      </c>
      <c r="AN50" s="37">
        <v>281</v>
      </c>
      <c r="AO50" s="37">
        <v>369</v>
      </c>
      <c r="AP50" s="39" t="s">
        <v>53</v>
      </c>
      <c r="AQ50" s="37">
        <v>231</v>
      </c>
      <c r="AR50" s="37">
        <v>436</v>
      </c>
      <c r="AS50" s="37">
        <v>393</v>
      </c>
      <c r="AT50" s="35">
        <v>356</v>
      </c>
      <c r="AU50" s="37">
        <v>343</v>
      </c>
      <c r="AV50" s="37">
        <v>364</v>
      </c>
      <c r="AW50" s="37">
        <v>327</v>
      </c>
      <c r="AX50" s="37">
        <v>397</v>
      </c>
      <c r="AY50" s="37">
        <v>414</v>
      </c>
      <c r="AZ50" s="37">
        <v>176</v>
      </c>
      <c r="BA50" s="35">
        <v>170</v>
      </c>
      <c r="BB50" s="37">
        <v>163</v>
      </c>
      <c r="BC50" s="37">
        <v>174</v>
      </c>
      <c r="BD50" s="37">
        <v>169</v>
      </c>
      <c r="BE50" s="37">
        <v>178</v>
      </c>
      <c r="BF50" s="37">
        <v>108</v>
      </c>
      <c r="BG50" s="35">
        <v>25</v>
      </c>
      <c r="BH50" s="37">
        <v>23</v>
      </c>
      <c r="BI50" s="37">
        <v>20</v>
      </c>
      <c r="BJ50" s="37">
        <v>19</v>
      </c>
      <c r="BK50" s="40">
        <v>17</v>
      </c>
      <c r="BL50" s="35" t="s">
        <v>54</v>
      </c>
      <c r="BM50" s="37">
        <v>114</v>
      </c>
      <c r="BN50" s="37">
        <v>148</v>
      </c>
      <c r="BO50" s="37">
        <v>156</v>
      </c>
      <c r="BP50" s="37">
        <v>160</v>
      </c>
      <c r="BQ50" s="35" t="s">
        <v>54</v>
      </c>
      <c r="BR50" s="37">
        <v>150</v>
      </c>
      <c r="BS50" s="37">
        <v>202</v>
      </c>
      <c r="BT50" s="56" t="s">
        <v>15</v>
      </c>
    </row>
    <row r="51" spans="1:80" ht="23.25" customHeight="1" x14ac:dyDescent="0.4">
      <c r="A51" s="32" t="s">
        <v>16</v>
      </c>
      <c r="B51" s="32"/>
      <c r="C51" s="33">
        <v>147</v>
      </c>
      <c r="D51" s="33">
        <v>149</v>
      </c>
      <c r="E51" s="33">
        <v>190</v>
      </c>
      <c r="F51" s="34">
        <v>192</v>
      </c>
      <c r="G51" s="35">
        <v>173</v>
      </c>
      <c r="H51" s="36">
        <v>192</v>
      </c>
      <c r="I51" s="37">
        <v>211</v>
      </c>
      <c r="J51" s="37">
        <v>245</v>
      </c>
      <c r="K51" s="37">
        <v>213</v>
      </c>
      <c r="L51" s="38">
        <v>192</v>
      </c>
      <c r="M51" s="38">
        <v>358</v>
      </c>
      <c r="N51" s="38">
        <v>268</v>
      </c>
      <c r="O51" s="37">
        <v>354</v>
      </c>
      <c r="P51" s="35">
        <v>390</v>
      </c>
      <c r="Q51" s="37">
        <v>368</v>
      </c>
      <c r="R51" s="37">
        <v>167</v>
      </c>
      <c r="S51" s="37">
        <v>131</v>
      </c>
      <c r="T51" s="37">
        <v>174</v>
      </c>
      <c r="U51" s="37">
        <v>166</v>
      </c>
      <c r="V51" s="39" t="s">
        <v>53</v>
      </c>
      <c r="W51" s="37">
        <v>42</v>
      </c>
      <c r="X51" s="37">
        <v>241</v>
      </c>
      <c r="Y51" s="37">
        <v>436</v>
      </c>
      <c r="Z51" s="37">
        <v>438</v>
      </c>
      <c r="AA51" s="40">
        <v>412</v>
      </c>
      <c r="AB51" s="37">
        <v>230</v>
      </c>
      <c r="AC51" s="37">
        <v>229</v>
      </c>
      <c r="AD51" s="37">
        <v>139</v>
      </c>
      <c r="AE51" s="39" t="s">
        <v>53</v>
      </c>
      <c r="AF51" s="37">
        <v>226</v>
      </c>
      <c r="AG51" s="37">
        <v>284</v>
      </c>
      <c r="AH51" s="37">
        <v>138</v>
      </c>
      <c r="AI51" s="37">
        <v>120</v>
      </c>
      <c r="AJ51" s="37">
        <v>278</v>
      </c>
      <c r="AK51" s="37">
        <v>390</v>
      </c>
      <c r="AL51" s="35">
        <v>367</v>
      </c>
      <c r="AM51" s="37">
        <v>314</v>
      </c>
      <c r="AN51" s="37">
        <v>289</v>
      </c>
      <c r="AO51" s="37">
        <v>346</v>
      </c>
      <c r="AP51" s="39" t="s">
        <v>53</v>
      </c>
      <c r="AQ51" s="37">
        <v>239</v>
      </c>
      <c r="AR51" s="37">
        <v>437</v>
      </c>
      <c r="AS51" s="37">
        <v>358</v>
      </c>
      <c r="AT51" s="35">
        <v>341</v>
      </c>
      <c r="AU51" s="37">
        <v>328</v>
      </c>
      <c r="AV51" s="37">
        <v>289</v>
      </c>
      <c r="AW51" s="37">
        <v>316</v>
      </c>
      <c r="AX51" s="37">
        <v>353</v>
      </c>
      <c r="AY51" s="37">
        <v>471</v>
      </c>
      <c r="AZ51" s="37">
        <v>175</v>
      </c>
      <c r="BA51" s="35">
        <v>175</v>
      </c>
      <c r="BB51" s="37">
        <v>154</v>
      </c>
      <c r="BC51" s="37">
        <v>158</v>
      </c>
      <c r="BD51" s="37">
        <v>164</v>
      </c>
      <c r="BE51" s="37">
        <v>165</v>
      </c>
      <c r="BF51" s="37">
        <v>112</v>
      </c>
      <c r="BG51" s="35">
        <v>26</v>
      </c>
      <c r="BH51" s="37">
        <v>21</v>
      </c>
      <c r="BI51" s="37">
        <v>22</v>
      </c>
      <c r="BJ51" s="37">
        <v>21</v>
      </c>
      <c r="BK51" s="40">
        <v>21</v>
      </c>
      <c r="BL51" s="35" t="s">
        <v>54</v>
      </c>
      <c r="BM51" s="37">
        <v>106</v>
      </c>
      <c r="BN51" s="37">
        <v>156</v>
      </c>
      <c r="BO51" s="37">
        <v>146</v>
      </c>
      <c r="BP51" s="37">
        <v>156</v>
      </c>
      <c r="BQ51" s="35" t="s">
        <v>54</v>
      </c>
      <c r="BR51" s="37">
        <v>161</v>
      </c>
      <c r="BS51" s="37">
        <v>181</v>
      </c>
      <c r="BT51" s="56" t="s">
        <v>17</v>
      </c>
      <c r="BY51" s="19"/>
      <c r="BZ51" s="19"/>
      <c r="CA51" s="19"/>
      <c r="CB51" s="19"/>
    </row>
    <row r="52" spans="1:80" ht="23.25" customHeight="1" x14ac:dyDescent="0.4">
      <c r="A52" s="32" t="s">
        <v>18</v>
      </c>
      <c r="B52" s="32"/>
      <c r="C52" s="33">
        <v>128</v>
      </c>
      <c r="D52" s="33">
        <v>139</v>
      </c>
      <c r="E52" s="33">
        <v>178</v>
      </c>
      <c r="F52" s="34">
        <v>186</v>
      </c>
      <c r="G52" s="35">
        <v>182</v>
      </c>
      <c r="H52" s="36">
        <v>194</v>
      </c>
      <c r="I52" s="37">
        <v>209</v>
      </c>
      <c r="J52" s="37">
        <v>200</v>
      </c>
      <c r="K52" s="37">
        <v>220</v>
      </c>
      <c r="L52" s="38">
        <v>274</v>
      </c>
      <c r="M52" s="38">
        <v>284</v>
      </c>
      <c r="N52" s="38">
        <v>274</v>
      </c>
      <c r="O52" s="37">
        <v>368</v>
      </c>
      <c r="P52" s="35">
        <v>356</v>
      </c>
      <c r="Q52" s="37">
        <v>364</v>
      </c>
      <c r="R52" s="37">
        <v>102</v>
      </c>
      <c r="S52" s="37">
        <v>99</v>
      </c>
      <c r="T52" s="37">
        <v>130</v>
      </c>
      <c r="U52" s="37">
        <v>154</v>
      </c>
      <c r="V52" s="39" t="s">
        <v>53</v>
      </c>
      <c r="W52" s="37">
        <v>68</v>
      </c>
      <c r="X52" s="37">
        <v>233</v>
      </c>
      <c r="Y52" s="37">
        <v>380</v>
      </c>
      <c r="Z52" s="37">
        <v>372</v>
      </c>
      <c r="AA52" s="40">
        <v>426</v>
      </c>
      <c r="AB52" s="37">
        <v>236</v>
      </c>
      <c r="AC52" s="37">
        <v>222</v>
      </c>
      <c r="AD52" s="37">
        <v>136</v>
      </c>
      <c r="AE52" s="39" t="s">
        <v>53</v>
      </c>
      <c r="AF52" s="37">
        <v>180</v>
      </c>
      <c r="AG52" s="37">
        <v>382</v>
      </c>
      <c r="AH52" s="37">
        <v>168</v>
      </c>
      <c r="AI52" s="37">
        <v>147</v>
      </c>
      <c r="AJ52" s="37">
        <v>211</v>
      </c>
      <c r="AK52" s="37">
        <v>411</v>
      </c>
      <c r="AL52" s="35">
        <v>397</v>
      </c>
      <c r="AM52" s="37">
        <v>370</v>
      </c>
      <c r="AN52" s="37">
        <v>325</v>
      </c>
      <c r="AO52" s="37">
        <v>527</v>
      </c>
      <c r="AP52" s="39" t="s">
        <v>53</v>
      </c>
      <c r="AQ52" s="37">
        <v>288</v>
      </c>
      <c r="AR52" s="37">
        <v>454</v>
      </c>
      <c r="AS52" s="37">
        <v>370</v>
      </c>
      <c r="AT52" s="35">
        <v>341</v>
      </c>
      <c r="AU52" s="37">
        <v>321</v>
      </c>
      <c r="AV52" s="37">
        <v>259</v>
      </c>
      <c r="AW52" s="37">
        <v>319</v>
      </c>
      <c r="AX52" s="37">
        <v>336</v>
      </c>
      <c r="AY52" s="37">
        <v>428</v>
      </c>
      <c r="AZ52" s="37">
        <v>181</v>
      </c>
      <c r="BA52" s="35">
        <v>166</v>
      </c>
      <c r="BB52" s="37">
        <v>163</v>
      </c>
      <c r="BC52" s="37">
        <v>142</v>
      </c>
      <c r="BD52" s="37">
        <v>158</v>
      </c>
      <c r="BE52" s="37">
        <v>149</v>
      </c>
      <c r="BF52" s="37">
        <v>91</v>
      </c>
      <c r="BG52" s="35">
        <v>28</v>
      </c>
      <c r="BH52" s="37">
        <v>21</v>
      </c>
      <c r="BI52" s="37">
        <v>20</v>
      </c>
      <c r="BJ52" s="37">
        <v>16</v>
      </c>
      <c r="BK52" s="40">
        <v>15</v>
      </c>
      <c r="BL52" s="35">
        <v>9</v>
      </c>
      <c r="BM52" s="37">
        <v>90</v>
      </c>
      <c r="BN52" s="37">
        <v>160</v>
      </c>
      <c r="BO52" s="37">
        <v>146</v>
      </c>
      <c r="BP52" s="37">
        <v>182</v>
      </c>
      <c r="BQ52" s="35" t="s">
        <v>54</v>
      </c>
      <c r="BR52" s="37">
        <v>148</v>
      </c>
      <c r="BS52" s="37">
        <v>184</v>
      </c>
      <c r="BT52" s="56" t="s">
        <v>19</v>
      </c>
    </row>
    <row r="53" spans="1:80" ht="23.25" customHeight="1" x14ac:dyDescent="0.4">
      <c r="A53" s="32" t="s">
        <v>20</v>
      </c>
      <c r="B53" s="32"/>
      <c r="C53" s="33">
        <v>137</v>
      </c>
      <c r="D53" s="33">
        <v>136</v>
      </c>
      <c r="E53" s="33">
        <v>192</v>
      </c>
      <c r="F53" s="34">
        <v>180</v>
      </c>
      <c r="G53" s="35">
        <v>174</v>
      </c>
      <c r="H53" s="36">
        <v>185</v>
      </c>
      <c r="I53" s="37">
        <v>192</v>
      </c>
      <c r="J53" s="37">
        <v>175</v>
      </c>
      <c r="K53" s="37">
        <v>185</v>
      </c>
      <c r="L53" s="38">
        <v>278</v>
      </c>
      <c r="M53" s="38">
        <v>318</v>
      </c>
      <c r="N53" s="38">
        <v>328</v>
      </c>
      <c r="O53" s="37">
        <v>346</v>
      </c>
      <c r="P53" s="35">
        <v>340</v>
      </c>
      <c r="Q53" s="37">
        <v>336</v>
      </c>
      <c r="R53" s="37">
        <v>127</v>
      </c>
      <c r="S53" s="37">
        <v>102</v>
      </c>
      <c r="T53" s="37">
        <v>173</v>
      </c>
      <c r="U53" s="37">
        <v>169</v>
      </c>
      <c r="V53" s="39" t="s">
        <v>53</v>
      </c>
      <c r="W53" s="37">
        <v>58</v>
      </c>
      <c r="X53" s="37">
        <v>225</v>
      </c>
      <c r="Y53" s="37">
        <v>376</v>
      </c>
      <c r="Z53" s="37">
        <v>356</v>
      </c>
      <c r="AA53" s="40">
        <v>406</v>
      </c>
      <c r="AB53" s="37">
        <v>231</v>
      </c>
      <c r="AC53" s="37">
        <v>138</v>
      </c>
      <c r="AD53" s="37">
        <v>198</v>
      </c>
      <c r="AE53" s="39" t="s">
        <v>53</v>
      </c>
      <c r="AF53" s="37">
        <v>150</v>
      </c>
      <c r="AG53" s="37">
        <v>354</v>
      </c>
      <c r="AH53" s="37">
        <v>168</v>
      </c>
      <c r="AI53" s="37">
        <v>137</v>
      </c>
      <c r="AJ53" s="37">
        <v>190</v>
      </c>
      <c r="AK53" s="37">
        <v>407</v>
      </c>
      <c r="AL53" s="35">
        <v>345</v>
      </c>
      <c r="AM53" s="37">
        <v>327</v>
      </c>
      <c r="AN53" s="37">
        <v>395</v>
      </c>
      <c r="AO53" s="37">
        <v>374</v>
      </c>
      <c r="AP53" s="39" t="s">
        <v>53</v>
      </c>
      <c r="AQ53" s="37">
        <v>292</v>
      </c>
      <c r="AR53" s="37">
        <v>442</v>
      </c>
      <c r="AS53" s="37">
        <v>331</v>
      </c>
      <c r="AT53" s="35">
        <v>302</v>
      </c>
      <c r="AU53" s="37">
        <v>286</v>
      </c>
      <c r="AV53" s="37">
        <v>341</v>
      </c>
      <c r="AW53" s="37">
        <v>310</v>
      </c>
      <c r="AX53" s="37">
        <v>340</v>
      </c>
      <c r="AY53" s="37">
        <v>450</v>
      </c>
      <c r="AZ53" s="37">
        <v>168</v>
      </c>
      <c r="BA53" s="35">
        <v>146</v>
      </c>
      <c r="BB53" s="37">
        <v>144</v>
      </c>
      <c r="BC53" s="37">
        <v>145</v>
      </c>
      <c r="BD53" s="37">
        <v>155</v>
      </c>
      <c r="BE53" s="37">
        <v>153</v>
      </c>
      <c r="BF53" s="37">
        <v>68</v>
      </c>
      <c r="BG53" s="35">
        <v>28</v>
      </c>
      <c r="BH53" s="37">
        <v>18</v>
      </c>
      <c r="BI53" s="37">
        <v>20</v>
      </c>
      <c r="BJ53" s="37">
        <v>19</v>
      </c>
      <c r="BK53" s="40">
        <v>20</v>
      </c>
      <c r="BL53" s="35">
        <v>43</v>
      </c>
      <c r="BM53" s="37">
        <v>86</v>
      </c>
      <c r="BN53" s="37">
        <v>147</v>
      </c>
      <c r="BO53" s="37">
        <v>150</v>
      </c>
      <c r="BP53" s="37">
        <v>151</v>
      </c>
      <c r="BQ53" s="35" t="s">
        <v>54</v>
      </c>
      <c r="BR53" s="37">
        <v>123</v>
      </c>
      <c r="BS53" s="37">
        <v>166</v>
      </c>
      <c r="BT53" s="56" t="s">
        <v>21</v>
      </c>
    </row>
    <row r="54" spans="1:80" ht="23.25" customHeight="1" x14ac:dyDescent="0.4">
      <c r="A54" s="32" t="s">
        <v>22</v>
      </c>
      <c r="B54" s="32"/>
      <c r="C54" s="33">
        <v>178</v>
      </c>
      <c r="D54" s="33">
        <v>154</v>
      </c>
      <c r="E54" s="33">
        <v>189</v>
      </c>
      <c r="F54" s="34">
        <v>178</v>
      </c>
      <c r="G54" s="35">
        <v>168</v>
      </c>
      <c r="H54" s="36">
        <v>193</v>
      </c>
      <c r="I54" s="37">
        <v>215</v>
      </c>
      <c r="J54" s="37">
        <v>195</v>
      </c>
      <c r="K54" s="37">
        <v>195</v>
      </c>
      <c r="L54" s="38">
        <v>322</v>
      </c>
      <c r="M54" s="38">
        <v>372</v>
      </c>
      <c r="N54" s="38">
        <v>308</v>
      </c>
      <c r="O54" s="37">
        <v>362</v>
      </c>
      <c r="P54" s="35">
        <v>356</v>
      </c>
      <c r="Q54" s="37">
        <v>402</v>
      </c>
      <c r="R54" s="37">
        <v>161</v>
      </c>
      <c r="S54" s="37">
        <v>146</v>
      </c>
      <c r="T54" s="37">
        <v>124</v>
      </c>
      <c r="U54" s="37">
        <v>161</v>
      </c>
      <c r="V54" s="39" t="s">
        <v>53</v>
      </c>
      <c r="W54" s="37">
        <v>60</v>
      </c>
      <c r="X54" s="37">
        <v>228</v>
      </c>
      <c r="Y54" s="37">
        <v>442</v>
      </c>
      <c r="Z54" s="37">
        <v>370</v>
      </c>
      <c r="AA54" s="40">
        <v>402</v>
      </c>
      <c r="AB54" s="37">
        <v>247</v>
      </c>
      <c r="AC54" s="37">
        <v>132</v>
      </c>
      <c r="AD54" s="37">
        <v>211</v>
      </c>
      <c r="AE54" s="39" t="s">
        <v>53</v>
      </c>
      <c r="AF54" s="37">
        <v>226</v>
      </c>
      <c r="AG54" s="37">
        <v>337</v>
      </c>
      <c r="AH54" s="37">
        <v>189</v>
      </c>
      <c r="AI54" s="37">
        <v>148</v>
      </c>
      <c r="AJ54" s="37">
        <v>151</v>
      </c>
      <c r="AK54" s="37">
        <v>452</v>
      </c>
      <c r="AL54" s="35">
        <v>353</v>
      </c>
      <c r="AM54" s="37">
        <v>338</v>
      </c>
      <c r="AN54" s="37">
        <v>428</v>
      </c>
      <c r="AO54" s="37">
        <v>403</v>
      </c>
      <c r="AP54" s="39" t="s">
        <v>53</v>
      </c>
      <c r="AQ54" s="37">
        <v>302</v>
      </c>
      <c r="AR54" s="37">
        <v>430</v>
      </c>
      <c r="AS54" s="37">
        <v>346</v>
      </c>
      <c r="AT54" s="35">
        <v>330</v>
      </c>
      <c r="AU54" s="37">
        <v>296</v>
      </c>
      <c r="AV54" s="37">
        <v>254</v>
      </c>
      <c r="AW54" s="37">
        <v>366</v>
      </c>
      <c r="AX54" s="37">
        <v>378</v>
      </c>
      <c r="AY54" s="37">
        <v>478</v>
      </c>
      <c r="AZ54" s="37">
        <v>173</v>
      </c>
      <c r="BA54" s="35">
        <v>152</v>
      </c>
      <c r="BB54" s="37">
        <v>162</v>
      </c>
      <c r="BC54" s="37">
        <v>154</v>
      </c>
      <c r="BD54" s="37">
        <v>166</v>
      </c>
      <c r="BE54" s="37">
        <v>153</v>
      </c>
      <c r="BF54" s="37">
        <v>58</v>
      </c>
      <c r="BG54" s="35">
        <v>26</v>
      </c>
      <c r="BH54" s="37">
        <v>25</v>
      </c>
      <c r="BI54" s="37">
        <v>21</v>
      </c>
      <c r="BJ54" s="37">
        <v>19</v>
      </c>
      <c r="BK54" s="40">
        <v>23</v>
      </c>
      <c r="BL54" s="35">
        <v>39</v>
      </c>
      <c r="BM54" s="37">
        <v>120</v>
      </c>
      <c r="BN54" s="37">
        <v>155</v>
      </c>
      <c r="BO54" s="37">
        <v>169</v>
      </c>
      <c r="BP54" s="37">
        <v>165</v>
      </c>
      <c r="BQ54" s="35" t="s">
        <v>54</v>
      </c>
      <c r="BR54" s="37">
        <v>157</v>
      </c>
      <c r="BS54" s="37">
        <v>176</v>
      </c>
      <c r="BT54" s="56" t="s">
        <v>23</v>
      </c>
      <c r="BY54" s="19"/>
      <c r="BZ54" s="19"/>
      <c r="CA54" s="19"/>
      <c r="CB54" s="19"/>
    </row>
    <row r="55" spans="1:80" ht="23.25" customHeight="1" x14ac:dyDescent="0.4">
      <c r="A55" s="32" t="s">
        <v>24</v>
      </c>
      <c r="B55" s="32"/>
      <c r="C55" s="33">
        <v>139</v>
      </c>
      <c r="D55" s="33">
        <v>153</v>
      </c>
      <c r="E55" s="33">
        <v>200</v>
      </c>
      <c r="F55" s="34">
        <v>189</v>
      </c>
      <c r="G55" s="35">
        <v>173</v>
      </c>
      <c r="H55" s="36">
        <v>214</v>
      </c>
      <c r="I55" s="37">
        <v>217</v>
      </c>
      <c r="J55" s="37">
        <v>210</v>
      </c>
      <c r="K55" s="37">
        <v>221</v>
      </c>
      <c r="L55" s="38">
        <v>254</v>
      </c>
      <c r="M55" s="38">
        <v>362</v>
      </c>
      <c r="N55" s="38">
        <v>464</v>
      </c>
      <c r="O55" s="37">
        <v>392</v>
      </c>
      <c r="P55" s="35">
        <v>346</v>
      </c>
      <c r="Q55" s="37">
        <v>438</v>
      </c>
      <c r="R55" s="37">
        <v>121</v>
      </c>
      <c r="S55" s="37">
        <v>145</v>
      </c>
      <c r="T55" s="37">
        <v>138</v>
      </c>
      <c r="U55" s="37">
        <v>159</v>
      </c>
      <c r="V55" s="39" t="s">
        <v>53</v>
      </c>
      <c r="W55" s="37">
        <v>66</v>
      </c>
      <c r="X55" s="37">
        <v>226</v>
      </c>
      <c r="Y55" s="37">
        <v>436</v>
      </c>
      <c r="Z55" s="37">
        <v>412</v>
      </c>
      <c r="AA55" s="40">
        <v>424</v>
      </c>
      <c r="AB55" s="37">
        <v>226</v>
      </c>
      <c r="AC55" s="37">
        <v>99</v>
      </c>
      <c r="AD55" s="37">
        <v>149</v>
      </c>
      <c r="AE55" s="39" t="s">
        <v>53</v>
      </c>
      <c r="AF55" s="37">
        <v>250</v>
      </c>
      <c r="AG55" s="37">
        <v>402</v>
      </c>
      <c r="AH55" s="37">
        <v>146</v>
      </c>
      <c r="AI55" s="37">
        <v>180</v>
      </c>
      <c r="AJ55" s="37">
        <v>177</v>
      </c>
      <c r="AK55" s="37">
        <v>464</v>
      </c>
      <c r="AL55" s="35">
        <v>365</v>
      </c>
      <c r="AM55" s="37">
        <v>381</v>
      </c>
      <c r="AN55" s="37">
        <v>421</v>
      </c>
      <c r="AO55" s="37">
        <v>450</v>
      </c>
      <c r="AP55" s="39" t="s">
        <v>53</v>
      </c>
      <c r="AQ55" s="37">
        <v>333</v>
      </c>
      <c r="AR55" s="37">
        <v>420</v>
      </c>
      <c r="AS55" s="37">
        <v>370</v>
      </c>
      <c r="AT55" s="35">
        <v>341</v>
      </c>
      <c r="AU55" s="37">
        <v>329</v>
      </c>
      <c r="AV55" s="37">
        <v>159</v>
      </c>
      <c r="AW55" s="37">
        <v>397</v>
      </c>
      <c r="AX55" s="37">
        <v>430</v>
      </c>
      <c r="AY55" s="37">
        <v>480</v>
      </c>
      <c r="AZ55" s="37">
        <v>172</v>
      </c>
      <c r="BA55" s="35">
        <v>163</v>
      </c>
      <c r="BB55" s="37">
        <v>156</v>
      </c>
      <c r="BC55" s="37">
        <v>148</v>
      </c>
      <c r="BD55" s="37">
        <v>165</v>
      </c>
      <c r="BE55" s="37">
        <v>161</v>
      </c>
      <c r="BF55" s="37">
        <v>60</v>
      </c>
      <c r="BG55" s="35">
        <v>26</v>
      </c>
      <c r="BH55" s="37">
        <v>19</v>
      </c>
      <c r="BI55" s="37">
        <v>22</v>
      </c>
      <c r="BJ55" s="37">
        <v>27</v>
      </c>
      <c r="BK55" s="40">
        <v>30</v>
      </c>
      <c r="BL55" s="35">
        <v>54</v>
      </c>
      <c r="BM55" s="37">
        <v>149</v>
      </c>
      <c r="BN55" s="37">
        <v>173</v>
      </c>
      <c r="BO55" s="37">
        <v>147</v>
      </c>
      <c r="BP55" s="37">
        <v>155</v>
      </c>
      <c r="BQ55" s="35" t="s">
        <v>54</v>
      </c>
      <c r="BR55" s="37">
        <v>172</v>
      </c>
      <c r="BS55" s="37">
        <v>189</v>
      </c>
      <c r="BT55" s="56" t="s">
        <v>25</v>
      </c>
    </row>
    <row r="56" spans="1:80" ht="23.25" customHeight="1" x14ac:dyDescent="0.4">
      <c r="A56" s="32" t="s">
        <v>26</v>
      </c>
      <c r="B56" s="32"/>
      <c r="C56" s="33">
        <v>148</v>
      </c>
      <c r="D56" s="33">
        <v>155</v>
      </c>
      <c r="E56" s="33">
        <v>200</v>
      </c>
      <c r="F56" s="34">
        <v>185</v>
      </c>
      <c r="G56" s="35">
        <v>177</v>
      </c>
      <c r="H56" s="36">
        <v>233</v>
      </c>
      <c r="I56" s="37">
        <v>242</v>
      </c>
      <c r="J56" s="37">
        <v>215</v>
      </c>
      <c r="K56" s="37">
        <v>228</v>
      </c>
      <c r="L56" s="38">
        <v>272</v>
      </c>
      <c r="M56" s="38">
        <v>286</v>
      </c>
      <c r="N56" s="38">
        <v>376</v>
      </c>
      <c r="O56" s="37">
        <v>346</v>
      </c>
      <c r="P56" s="35">
        <v>320</v>
      </c>
      <c r="Q56" s="37">
        <v>432</v>
      </c>
      <c r="R56" s="37">
        <v>139</v>
      </c>
      <c r="S56" s="37">
        <v>100</v>
      </c>
      <c r="T56" s="37">
        <v>202</v>
      </c>
      <c r="U56" s="37">
        <v>139</v>
      </c>
      <c r="V56" s="39" t="s">
        <v>53</v>
      </c>
      <c r="W56" s="37">
        <v>54</v>
      </c>
      <c r="X56" s="37">
        <v>199</v>
      </c>
      <c r="Y56" s="37">
        <v>434</v>
      </c>
      <c r="Z56" s="37">
        <v>402</v>
      </c>
      <c r="AA56" s="40">
        <v>392</v>
      </c>
      <c r="AB56" s="37">
        <v>223</v>
      </c>
      <c r="AC56" s="37">
        <v>185</v>
      </c>
      <c r="AD56" s="37">
        <v>167</v>
      </c>
      <c r="AE56" s="39" t="s">
        <v>53</v>
      </c>
      <c r="AF56" s="37">
        <v>308</v>
      </c>
      <c r="AG56" s="37">
        <v>387</v>
      </c>
      <c r="AH56" s="37">
        <v>172</v>
      </c>
      <c r="AI56" s="37">
        <v>191</v>
      </c>
      <c r="AJ56" s="37">
        <v>178</v>
      </c>
      <c r="AK56" s="37">
        <v>409</v>
      </c>
      <c r="AL56" s="35">
        <v>341</v>
      </c>
      <c r="AM56" s="37">
        <v>317</v>
      </c>
      <c r="AN56" s="37">
        <v>419</v>
      </c>
      <c r="AO56" s="37">
        <v>375</v>
      </c>
      <c r="AP56" s="39" t="s">
        <v>53</v>
      </c>
      <c r="AQ56" s="37">
        <v>335</v>
      </c>
      <c r="AR56" s="37">
        <v>318</v>
      </c>
      <c r="AS56" s="37">
        <v>357</v>
      </c>
      <c r="AT56" s="35">
        <v>314</v>
      </c>
      <c r="AU56" s="37">
        <v>331</v>
      </c>
      <c r="AV56" s="37">
        <v>159</v>
      </c>
      <c r="AW56" s="37">
        <v>362</v>
      </c>
      <c r="AX56" s="37">
        <v>360</v>
      </c>
      <c r="AY56" s="37">
        <v>380</v>
      </c>
      <c r="AZ56" s="37">
        <v>166</v>
      </c>
      <c r="BA56" s="35">
        <v>151</v>
      </c>
      <c r="BB56" s="37">
        <v>155</v>
      </c>
      <c r="BC56" s="37">
        <v>166</v>
      </c>
      <c r="BD56" s="37">
        <v>158</v>
      </c>
      <c r="BE56" s="37">
        <v>154</v>
      </c>
      <c r="BF56" s="37">
        <v>46</v>
      </c>
      <c r="BG56" s="35">
        <v>32</v>
      </c>
      <c r="BH56" s="37">
        <v>24</v>
      </c>
      <c r="BI56" s="37">
        <v>21</v>
      </c>
      <c r="BJ56" s="37">
        <v>23</v>
      </c>
      <c r="BK56" s="40">
        <v>21</v>
      </c>
      <c r="BL56" s="35">
        <v>69</v>
      </c>
      <c r="BM56" s="37">
        <v>130</v>
      </c>
      <c r="BN56" s="37">
        <v>173</v>
      </c>
      <c r="BO56" s="37">
        <v>141</v>
      </c>
      <c r="BP56" s="37">
        <v>154</v>
      </c>
      <c r="BQ56" s="35" t="s">
        <v>54</v>
      </c>
      <c r="BR56" s="37">
        <v>165</v>
      </c>
      <c r="BS56" s="37">
        <v>161</v>
      </c>
      <c r="BT56" s="56" t="s">
        <v>27</v>
      </c>
    </row>
    <row r="57" spans="1:80" ht="23.25" customHeight="1" x14ac:dyDescent="0.4">
      <c r="A57" s="32" t="s">
        <v>28</v>
      </c>
      <c r="B57" s="32"/>
      <c r="C57" s="33">
        <v>144</v>
      </c>
      <c r="D57" s="33">
        <v>157</v>
      </c>
      <c r="E57" s="33">
        <v>204</v>
      </c>
      <c r="F57" s="34">
        <v>180</v>
      </c>
      <c r="G57" s="35">
        <v>163</v>
      </c>
      <c r="H57" s="36">
        <v>228</v>
      </c>
      <c r="I57" s="37">
        <v>238</v>
      </c>
      <c r="J57" s="37">
        <v>168</v>
      </c>
      <c r="K57" s="37">
        <v>217</v>
      </c>
      <c r="L57" s="38">
        <v>190</v>
      </c>
      <c r="M57" s="38">
        <v>272</v>
      </c>
      <c r="N57" s="38">
        <v>380</v>
      </c>
      <c r="O57" s="37">
        <v>366</v>
      </c>
      <c r="P57" s="35">
        <v>334</v>
      </c>
      <c r="Q57" s="37">
        <v>492</v>
      </c>
      <c r="R57" s="37">
        <v>104</v>
      </c>
      <c r="S57" s="37">
        <v>122</v>
      </c>
      <c r="T57" s="37">
        <v>165</v>
      </c>
      <c r="U57" s="37">
        <v>177</v>
      </c>
      <c r="V57" s="37">
        <v>4</v>
      </c>
      <c r="W57" s="37">
        <v>52</v>
      </c>
      <c r="X57" s="37">
        <v>210</v>
      </c>
      <c r="Y57" s="37">
        <v>446</v>
      </c>
      <c r="Z57" s="37">
        <v>394</v>
      </c>
      <c r="AA57" s="40">
        <v>408</v>
      </c>
      <c r="AB57" s="37">
        <v>251</v>
      </c>
      <c r="AC57" s="37">
        <v>104</v>
      </c>
      <c r="AD57" s="37">
        <v>172</v>
      </c>
      <c r="AE57" s="37">
        <v>186</v>
      </c>
      <c r="AF57" s="37">
        <v>365</v>
      </c>
      <c r="AG57" s="37">
        <v>439</v>
      </c>
      <c r="AH57" s="37">
        <v>122</v>
      </c>
      <c r="AI57" s="37">
        <v>105</v>
      </c>
      <c r="AJ57" s="37">
        <v>151</v>
      </c>
      <c r="AK57" s="37">
        <v>451</v>
      </c>
      <c r="AL57" s="35">
        <v>336</v>
      </c>
      <c r="AM57" s="37">
        <v>326</v>
      </c>
      <c r="AN57" s="37">
        <v>402</v>
      </c>
      <c r="AO57" s="37">
        <v>414</v>
      </c>
      <c r="AP57" s="37">
        <v>30</v>
      </c>
      <c r="AQ57" s="37">
        <v>357</v>
      </c>
      <c r="AR57" s="37">
        <v>350</v>
      </c>
      <c r="AS57" s="37">
        <v>368</v>
      </c>
      <c r="AT57" s="35">
        <v>328</v>
      </c>
      <c r="AU57" s="37">
        <v>321</v>
      </c>
      <c r="AV57" s="37">
        <v>160</v>
      </c>
      <c r="AW57" s="37">
        <v>387</v>
      </c>
      <c r="AX57" s="37">
        <v>392</v>
      </c>
      <c r="AY57" s="37">
        <v>441</v>
      </c>
      <c r="AZ57" s="37">
        <v>185</v>
      </c>
      <c r="BA57" s="35">
        <v>173</v>
      </c>
      <c r="BB57" s="37">
        <v>167</v>
      </c>
      <c r="BC57" s="37">
        <v>163</v>
      </c>
      <c r="BD57" s="37">
        <v>167</v>
      </c>
      <c r="BE57" s="37">
        <v>165</v>
      </c>
      <c r="BF57" s="37">
        <v>54</v>
      </c>
      <c r="BG57" s="35">
        <v>27</v>
      </c>
      <c r="BH57" s="37">
        <v>20</v>
      </c>
      <c r="BI57" s="37">
        <v>19</v>
      </c>
      <c r="BJ57" s="37">
        <v>18</v>
      </c>
      <c r="BK57" s="40">
        <v>19</v>
      </c>
      <c r="BL57" s="35">
        <v>87</v>
      </c>
      <c r="BM57" s="37">
        <v>150</v>
      </c>
      <c r="BN57" s="37">
        <v>188</v>
      </c>
      <c r="BO57" s="37">
        <v>171</v>
      </c>
      <c r="BP57" s="37">
        <v>171</v>
      </c>
      <c r="BQ57" s="35">
        <v>132</v>
      </c>
      <c r="BR57" s="37">
        <v>180</v>
      </c>
      <c r="BS57" s="37">
        <v>186</v>
      </c>
      <c r="BT57" s="56" t="s">
        <v>29</v>
      </c>
      <c r="BY57" s="19"/>
      <c r="BZ57" s="19"/>
      <c r="CA57" s="19"/>
      <c r="CB57" s="19"/>
    </row>
    <row r="58" spans="1:80" ht="23.25" customHeight="1" x14ac:dyDescent="0.4">
      <c r="A58" s="32" t="s">
        <v>30</v>
      </c>
      <c r="B58" s="32"/>
      <c r="C58" s="33">
        <v>151</v>
      </c>
      <c r="D58" s="33">
        <v>170</v>
      </c>
      <c r="E58" s="33">
        <v>203</v>
      </c>
      <c r="F58" s="34">
        <v>147</v>
      </c>
      <c r="G58" s="35">
        <v>179</v>
      </c>
      <c r="H58" s="36">
        <v>202</v>
      </c>
      <c r="I58" s="37">
        <v>241</v>
      </c>
      <c r="J58" s="37">
        <v>204</v>
      </c>
      <c r="K58" s="37">
        <v>226</v>
      </c>
      <c r="L58" s="38">
        <v>354</v>
      </c>
      <c r="M58" s="38">
        <v>282</v>
      </c>
      <c r="N58" s="38">
        <v>390</v>
      </c>
      <c r="O58" s="37">
        <v>374</v>
      </c>
      <c r="P58" s="35">
        <v>334</v>
      </c>
      <c r="Q58" s="37">
        <v>458</v>
      </c>
      <c r="R58" s="37">
        <v>142</v>
      </c>
      <c r="S58" s="37">
        <v>129</v>
      </c>
      <c r="T58" s="37">
        <v>199</v>
      </c>
      <c r="U58" s="37">
        <v>160</v>
      </c>
      <c r="V58" s="37">
        <v>144</v>
      </c>
      <c r="W58" s="37">
        <v>84</v>
      </c>
      <c r="X58" s="37">
        <v>253</v>
      </c>
      <c r="Y58" s="37">
        <v>410</v>
      </c>
      <c r="Z58" s="37">
        <v>390</v>
      </c>
      <c r="AA58" s="40">
        <v>348</v>
      </c>
      <c r="AB58" s="37">
        <v>224</v>
      </c>
      <c r="AC58" s="37">
        <v>162</v>
      </c>
      <c r="AD58" s="37">
        <v>177</v>
      </c>
      <c r="AE58" s="37">
        <v>275</v>
      </c>
      <c r="AF58" s="37">
        <v>325</v>
      </c>
      <c r="AG58" s="37">
        <v>415</v>
      </c>
      <c r="AH58" s="37">
        <v>133</v>
      </c>
      <c r="AI58" s="37">
        <v>148</v>
      </c>
      <c r="AJ58" s="37">
        <v>173</v>
      </c>
      <c r="AK58" s="37">
        <v>375</v>
      </c>
      <c r="AL58" s="35">
        <v>304</v>
      </c>
      <c r="AM58" s="37">
        <v>298</v>
      </c>
      <c r="AN58" s="37">
        <v>365</v>
      </c>
      <c r="AO58" s="37">
        <v>383</v>
      </c>
      <c r="AP58" s="37">
        <v>49</v>
      </c>
      <c r="AQ58" s="37">
        <v>365</v>
      </c>
      <c r="AR58" s="37">
        <v>349</v>
      </c>
      <c r="AS58" s="37">
        <v>309</v>
      </c>
      <c r="AT58" s="35">
        <v>319</v>
      </c>
      <c r="AU58" s="37">
        <v>324</v>
      </c>
      <c r="AV58" s="37">
        <v>159</v>
      </c>
      <c r="AW58" s="37">
        <v>370</v>
      </c>
      <c r="AX58" s="37">
        <v>379</v>
      </c>
      <c r="AY58" s="37">
        <v>374</v>
      </c>
      <c r="AZ58" s="37">
        <v>169</v>
      </c>
      <c r="BA58" s="35">
        <v>164</v>
      </c>
      <c r="BB58" s="37">
        <v>160</v>
      </c>
      <c r="BC58" s="37">
        <v>170</v>
      </c>
      <c r="BD58" s="37">
        <v>159</v>
      </c>
      <c r="BE58" s="37">
        <v>177</v>
      </c>
      <c r="BF58" s="37">
        <v>50</v>
      </c>
      <c r="BG58" s="35">
        <v>30</v>
      </c>
      <c r="BH58" s="37">
        <v>22</v>
      </c>
      <c r="BI58" s="37">
        <v>21</v>
      </c>
      <c r="BJ58" s="37">
        <v>24</v>
      </c>
      <c r="BK58" s="40">
        <v>17</v>
      </c>
      <c r="BL58" s="35">
        <v>127</v>
      </c>
      <c r="BM58" s="37">
        <v>132</v>
      </c>
      <c r="BN58" s="37">
        <v>164</v>
      </c>
      <c r="BO58" s="37">
        <v>156</v>
      </c>
      <c r="BP58" s="37">
        <v>168</v>
      </c>
      <c r="BQ58" s="35">
        <v>178</v>
      </c>
      <c r="BR58" s="37">
        <v>175</v>
      </c>
      <c r="BS58" s="37">
        <v>210</v>
      </c>
      <c r="BT58" s="56" t="s">
        <v>31</v>
      </c>
    </row>
    <row r="59" spans="1:80" ht="23.25" customHeight="1" x14ac:dyDescent="0.4">
      <c r="A59" s="41" t="s">
        <v>32</v>
      </c>
      <c r="B59" s="41"/>
      <c r="C59" s="42">
        <v>134</v>
      </c>
      <c r="D59" s="42">
        <v>174</v>
      </c>
      <c r="E59" s="42">
        <v>220</v>
      </c>
      <c r="F59" s="43">
        <v>162</v>
      </c>
      <c r="G59" s="44">
        <v>199</v>
      </c>
      <c r="H59" s="45">
        <v>181</v>
      </c>
      <c r="I59" s="46">
        <v>267</v>
      </c>
      <c r="J59" s="46">
        <v>212</v>
      </c>
      <c r="K59" s="46">
        <v>205</v>
      </c>
      <c r="L59" s="47">
        <v>330</v>
      </c>
      <c r="M59" s="47">
        <v>368</v>
      </c>
      <c r="N59" s="47">
        <v>371</v>
      </c>
      <c r="O59" s="46">
        <v>398</v>
      </c>
      <c r="P59" s="44">
        <v>406</v>
      </c>
      <c r="Q59" s="46">
        <v>458</v>
      </c>
      <c r="R59" s="46">
        <v>121</v>
      </c>
      <c r="S59" s="46">
        <v>105</v>
      </c>
      <c r="T59" s="46">
        <v>170</v>
      </c>
      <c r="U59" s="46">
        <v>162</v>
      </c>
      <c r="V59" s="46">
        <v>114</v>
      </c>
      <c r="W59" s="46">
        <v>82</v>
      </c>
      <c r="X59" s="46">
        <v>222</v>
      </c>
      <c r="Y59" s="46">
        <v>418</v>
      </c>
      <c r="Z59" s="46">
        <v>390</v>
      </c>
      <c r="AA59" s="48">
        <v>412</v>
      </c>
      <c r="AB59" s="46">
        <v>220</v>
      </c>
      <c r="AC59" s="46">
        <v>216</v>
      </c>
      <c r="AD59" s="46">
        <v>195</v>
      </c>
      <c r="AE59" s="46">
        <v>308</v>
      </c>
      <c r="AF59" s="46">
        <v>350</v>
      </c>
      <c r="AG59" s="46">
        <v>405</v>
      </c>
      <c r="AH59" s="46">
        <v>167</v>
      </c>
      <c r="AI59" s="46">
        <v>268</v>
      </c>
      <c r="AJ59" s="46">
        <v>217</v>
      </c>
      <c r="AK59" s="46">
        <v>394</v>
      </c>
      <c r="AL59" s="44">
        <v>314</v>
      </c>
      <c r="AM59" s="46">
        <v>316</v>
      </c>
      <c r="AN59" s="46">
        <v>399</v>
      </c>
      <c r="AO59" s="46">
        <v>410</v>
      </c>
      <c r="AP59" s="46">
        <v>94</v>
      </c>
      <c r="AQ59" s="46">
        <v>369</v>
      </c>
      <c r="AR59" s="46">
        <v>346</v>
      </c>
      <c r="AS59" s="46">
        <v>329</v>
      </c>
      <c r="AT59" s="44">
        <v>327</v>
      </c>
      <c r="AU59" s="46">
        <v>329</v>
      </c>
      <c r="AV59" s="46">
        <v>170</v>
      </c>
      <c r="AW59" s="46">
        <v>385</v>
      </c>
      <c r="AX59" s="46">
        <v>387</v>
      </c>
      <c r="AY59" s="46">
        <v>453</v>
      </c>
      <c r="AZ59" s="46">
        <v>178</v>
      </c>
      <c r="BA59" s="44">
        <v>178</v>
      </c>
      <c r="BB59" s="46">
        <v>169</v>
      </c>
      <c r="BC59" s="46">
        <v>180</v>
      </c>
      <c r="BD59" s="46">
        <v>171</v>
      </c>
      <c r="BE59" s="46">
        <v>255</v>
      </c>
      <c r="BF59" s="46">
        <v>39</v>
      </c>
      <c r="BG59" s="44">
        <v>30</v>
      </c>
      <c r="BH59" s="46">
        <v>24</v>
      </c>
      <c r="BI59" s="46">
        <v>23</v>
      </c>
      <c r="BJ59" s="46">
        <v>22</v>
      </c>
      <c r="BK59" s="48">
        <v>15</v>
      </c>
      <c r="BL59" s="44">
        <v>124</v>
      </c>
      <c r="BM59" s="46">
        <v>131</v>
      </c>
      <c r="BN59" s="46">
        <v>169</v>
      </c>
      <c r="BO59" s="46">
        <v>158</v>
      </c>
      <c r="BP59" s="46">
        <v>161</v>
      </c>
      <c r="BQ59" s="44">
        <v>178</v>
      </c>
      <c r="BR59" s="46">
        <v>171</v>
      </c>
      <c r="BS59" s="46">
        <v>212</v>
      </c>
      <c r="BT59" s="57" t="s">
        <v>33</v>
      </c>
    </row>
    <row r="60" spans="1:80" ht="18.75" x14ac:dyDescent="0.25">
      <c r="A60" s="5" t="s">
        <v>6</v>
      </c>
      <c r="B60" s="5"/>
      <c r="C60" s="6"/>
      <c r="D60" s="6"/>
      <c r="E60" s="6"/>
      <c r="F60" s="6"/>
      <c r="G60" s="6"/>
      <c r="H60" s="6"/>
      <c r="I60" s="6"/>
      <c r="J60" s="6"/>
      <c r="K60" s="6"/>
      <c r="BT60" s="7" t="s">
        <v>7</v>
      </c>
      <c r="BX60" s="14"/>
      <c r="BY60" s="19"/>
      <c r="BZ60" s="19"/>
      <c r="CA60" s="19"/>
      <c r="CB60" s="19"/>
    </row>
  </sheetData>
  <mergeCells count="42">
    <mergeCell ref="BT44:BT46"/>
    <mergeCell ref="G45:K45"/>
    <mergeCell ref="P45:AA45"/>
    <mergeCell ref="AC45:AJ45"/>
    <mergeCell ref="AL45:AR45"/>
    <mergeCell ref="AT45:AX45"/>
    <mergeCell ref="BA45:BE45"/>
    <mergeCell ref="BG45:BK45"/>
    <mergeCell ref="BL45:BP45"/>
    <mergeCell ref="BQ45:BS45"/>
    <mergeCell ref="AT44:AX44"/>
    <mergeCell ref="BA44:BE44"/>
    <mergeCell ref="BG44:BK44"/>
    <mergeCell ref="BL44:BP44"/>
    <mergeCell ref="BQ44:BS44"/>
    <mergeCell ref="A44:A46"/>
    <mergeCell ref="G44:K44"/>
    <mergeCell ref="P44:AA44"/>
    <mergeCell ref="AC44:AJ44"/>
    <mergeCell ref="AL44:AR44"/>
    <mergeCell ref="A1:AB1"/>
    <mergeCell ref="A2:AB2"/>
    <mergeCell ref="A4:A7"/>
    <mergeCell ref="B4:C4"/>
    <mergeCell ref="E4:F4"/>
    <mergeCell ref="H4:I4"/>
    <mergeCell ref="K4:L4"/>
    <mergeCell ref="N4:O4"/>
    <mergeCell ref="Q4:R4"/>
    <mergeCell ref="T4:U4"/>
    <mergeCell ref="B5:C5"/>
    <mergeCell ref="E5:F5"/>
    <mergeCell ref="H5:I5"/>
    <mergeCell ref="K5:L5"/>
    <mergeCell ref="AB4:AB7"/>
    <mergeCell ref="N5:O5"/>
    <mergeCell ref="W5:X5"/>
    <mergeCell ref="Z5:AA5"/>
    <mergeCell ref="W4:X4"/>
    <mergeCell ref="Z4:AA4"/>
    <mergeCell ref="Q5:R5"/>
    <mergeCell ref="T5:U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S45"/>
  <sheetViews>
    <sheetView tabSelected="1" zoomScale="112" zoomScaleNormal="112" workbookViewId="0">
      <selection activeCell="O8" sqref="O8"/>
    </sheetView>
  </sheetViews>
  <sheetFormatPr defaultColWidth="9.140625" defaultRowHeight="15" x14ac:dyDescent="0.25"/>
  <cols>
    <col min="1" max="1" width="12.5703125" style="90" customWidth="1"/>
    <col min="2" max="2" width="1" style="90" customWidth="1"/>
    <col min="3" max="58" width="6.85546875" style="90" customWidth="1"/>
    <col min="59" max="59" width="6.140625" style="90" hidden="1" customWidth="1"/>
    <col min="60" max="60" width="6.85546875" style="90" hidden="1" customWidth="1"/>
    <col min="61" max="66" width="6.85546875" style="90" customWidth="1"/>
    <col min="67" max="69" width="6.85546875" style="90" hidden="1" customWidth="1"/>
    <col min="70" max="87" width="8.7109375" style="90" customWidth="1"/>
    <col min="88" max="88" width="11.140625" style="90" bestFit="1" customWidth="1"/>
    <col min="89" max="89" width="21" style="90" customWidth="1"/>
    <col min="90" max="92" width="28.140625" style="90" customWidth="1"/>
    <col min="93" max="16384" width="9.140625" style="90"/>
  </cols>
  <sheetData>
    <row r="1" spans="1:97" ht="15.75" x14ac:dyDescent="0.25">
      <c r="A1" s="173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</row>
    <row r="3" spans="1:97" x14ac:dyDescent="0.25">
      <c r="A3" s="89" t="s">
        <v>81</v>
      </c>
      <c r="BS3" s="74"/>
    </row>
    <row r="4" spans="1:97" s="63" customFormat="1" ht="21.75" customHeight="1" x14ac:dyDescent="0.55000000000000004">
      <c r="A4" s="183" t="s">
        <v>8</v>
      </c>
      <c r="B4" s="75"/>
      <c r="C4" s="186" t="s">
        <v>71</v>
      </c>
      <c r="D4" s="180"/>
      <c r="E4" s="180"/>
      <c r="F4" s="180"/>
      <c r="G4" s="180"/>
      <c r="H4" s="180"/>
      <c r="I4" s="180"/>
      <c r="J4" s="180"/>
      <c r="K4" s="179" t="s">
        <v>73</v>
      </c>
      <c r="L4" s="180"/>
      <c r="M4" s="180"/>
      <c r="N4" s="180"/>
      <c r="O4" s="180"/>
      <c r="P4" s="180"/>
      <c r="Q4" s="180"/>
      <c r="R4" s="181"/>
      <c r="S4" s="179" t="s">
        <v>74</v>
      </c>
      <c r="T4" s="180"/>
      <c r="U4" s="180"/>
      <c r="V4" s="180"/>
      <c r="W4" s="180"/>
      <c r="X4" s="180"/>
      <c r="Y4" s="180"/>
      <c r="Z4" s="181"/>
      <c r="AA4" s="179" t="s">
        <v>75</v>
      </c>
      <c r="AB4" s="180"/>
      <c r="AC4" s="180"/>
      <c r="AD4" s="180"/>
      <c r="AE4" s="180"/>
      <c r="AF4" s="180"/>
      <c r="AG4" s="180"/>
      <c r="AH4" s="181"/>
      <c r="AI4" s="179" t="s">
        <v>76</v>
      </c>
      <c r="AJ4" s="180"/>
      <c r="AK4" s="180"/>
      <c r="AL4" s="180"/>
      <c r="AM4" s="180"/>
      <c r="AN4" s="180"/>
      <c r="AO4" s="180"/>
      <c r="AP4" s="181"/>
      <c r="AQ4" s="179" t="s">
        <v>77</v>
      </c>
      <c r="AR4" s="180"/>
      <c r="AS4" s="180"/>
      <c r="AT4" s="180"/>
      <c r="AU4" s="180"/>
      <c r="AV4" s="180"/>
      <c r="AW4" s="180"/>
      <c r="AX4" s="181"/>
      <c r="AY4" s="179" t="s">
        <v>78</v>
      </c>
      <c r="AZ4" s="180"/>
      <c r="BA4" s="180"/>
      <c r="BB4" s="180"/>
      <c r="BC4" s="180"/>
      <c r="BD4" s="180"/>
      <c r="BE4" s="180"/>
      <c r="BF4" s="181"/>
      <c r="BG4" s="179" t="s">
        <v>80</v>
      </c>
      <c r="BH4" s="180"/>
      <c r="BI4" s="180"/>
      <c r="BJ4" s="180"/>
      <c r="BK4" s="180"/>
      <c r="BL4" s="180"/>
      <c r="BM4" s="180"/>
      <c r="BN4" s="181"/>
      <c r="BO4" s="179" t="s">
        <v>79</v>
      </c>
      <c r="BP4" s="180"/>
      <c r="BQ4" s="180"/>
      <c r="BR4" s="180"/>
      <c r="BS4" s="180"/>
      <c r="BT4" s="180"/>
      <c r="BU4" s="180"/>
      <c r="BV4" s="181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76" t="s">
        <v>9</v>
      </c>
    </row>
    <row r="5" spans="1:97" s="64" customFormat="1" ht="15" customHeight="1" x14ac:dyDescent="0.25">
      <c r="A5" s="184"/>
      <c r="B5" s="78"/>
      <c r="C5" s="182" t="s">
        <v>70</v>
      </c>
      <c r="D5" s="172"/>
      <c r="E5" s="172"/>
      <c r="F5" s="172"/>
      <c r="G5" s="172"/>
      <c r="H5" s="172"/>
      <c r="I5" s="172"/>
      <c r="J5" s="172"/>
      <c r="K5" s="174" t="s">
        <v>72</v>
      </c>
      <c r="L5" s="172"/>
      <c r="M5" s="172"/>
      <c r="N5" s="172"/>
      <c r="O5" s="172"/>
      <c r="P5" s="172"/>
      <c r="Q5" s="172"/>
      <c r="R5" s="175"/>
      <c r="S5" s="174" t="s">
        <v>83</v>
      </c>
      <c r="T5" s="172"/>
      <c r="U5" s="172"/>
      <c r="V5" s="172"/>
      <c r="W5" s="172"/>
      <c r="X5" s="172"/>
      <c r="Y5" s="172"/>
      <c r="Z5" s="175"/>
      <c r="AA5" s="174" t="s">
        <v>84</v>
      </c>
      <c r="AB5" s="172"/>
      <c r="AC5" s="172"/>
      <c r="AD5" s="172"/>
      <c r="AE5" s="172"/>
      <c r="AF5" s="172"/>
      <c r="AG5" s="172"/>
      <c r="AH5" s="175"/>
      <c r="AI5" s="174" t="s">
        <v>85</v>
      </c>
      <c r="AJ5" s="172"/>
      <c r="AK5" s="172"/>
      <c r="AL5" s="172"/>
      <c r="AM5" s="172"/>
      <c r="AN5" s="172"/>
      <c r="AO5" s="172"/>
      <c r="AP5" s="175"/>
      <c r="AQ5" s="174" t="s">
        <v>86</v>
      </c>
      <c r="AR5" s="172"/>
      <c r="AS5" s="172"/>
      <c r="AT5" s="172"/>
      <c r="AU5" s="172"/>
      <c r="AV5" s="172"/>
      <c r="AW5" s="172"/>
      <c r="AX5" s="175"/>
      <c r="AY5" s="174" t="s">
        <v>87</v>
      </c>
      <c r="AZ5" s="172"/>
      <c r="BA5" s="172"/>
      <c r="BB5" s="172"/>
      <c r="BC5" s="172"/>
      <c r="BD5" s="172"/>
      <c r="BE5" s="172"/>
      <c r="BF5" s="175"/>
      <c r="BG5" s="174" t="s">
        <v>88</v>
      </c>
      <c r="BH5" s="172"/>
      <c r="BI5" s="172"/>
      <c r="BJ5" s="172"/>
      <c r="BK5" s="172"/>
      <c r="BL5" s="172"/>
      <c r="BM5" s="172"/>
      <c r="BN5" s="175"/>
      <c r="BO5" s="174" t="s">
        <v>89</v>
      </c>
      <c r="BP5" s="172"/>
      <c r="BQ5" s="172"/>
      <c r="BR5" s="172"/>
      <c r="BS5" s="172"/>
      <c r="BT5" s="172"/>
      <c r="BU5" s="172"/>
      <c r="BV5" s="175"/>
      <c r="BW5" s="172" t="s">
        <v>90</v>
      </c>
      <c r="BX5" s="172"/>
      <c r="BY5" s="172"/>
      <c r="BZ5" s="172" t="s">
        <v>91</v>
      </c>
      <c r="CA5" s="172"/>
      <c r="CB5" s="172"/>
      <c r="CC5" s="172" t="s">
        <v>92</v>
      </c>
      <c r="CD5" s="172"/>
      <c r="CE5" s="172"/>
      <c r="CF5" s="172"/>
      <c r="CG5" s="172" t="s">
        <v>93</v>
      </c>
      <c r="CH5" s="172"/>
      <c r="CI5" s="172"/>
      <c r="CJ5" s="127" t="s">
        <v>94</v>
      </c>
      <c r="CK5" s="177"/>
    </row>
    <row r="6" spans="1:97" s="94" customFormat="1" ht="23.25" customHeight="1" x14ac:dyDescent="0.25">
      <c r="A6" s="185"/>
      <c r="B6" s="80"/>
      <c r="C6" s="83">
        <v>2015</v>
      </c>
      <c r="D6" s="85">
        <v>2016</v>
      </c>
      <c r="E6" s="86">
        <v>2017</v>
      </c>
      <c r="F6" s="86">
        <v>2018</v>
      </c>
      <c r="G6" s="86">
        <v>2019</v>
      </c>
      <c r="H6" s="86">
        <v>2020</v>
      </c>
      <c r="I6" s="86">
        <v>2021</v>
      </c>
      <c r="J6" s="86">
        <v>2022</v>
      </c>
      <c r="K6" s="91">
        <v>2015</v>
      </c>
      <c r="L6" s="85">
        <v>2016</v>
      </c>
      <c r="M6" s="86">
        <v>2017</v>
      </c>
      <c r="N6" s="86">
        <v>2018</v>
      </c>
      <c r="O6" s="86">
        <v>2019</v>
      </c>
      <c r="P6" s="86">
        <v>2020</v>
      </c>
      <c r="Q6" s="86">
        <v>2021</v>
      </c>
      <c r="R6" s="92">
        <v>2022</v>
      </c>
      <c r="S6" s="91">
        <v>2015</v>
      </c>
      <c r="T6" s="85">
        <v>2016</v>
      </c>
      <c r="U6" s="86">
        <v>2017</v>
      </c>
      <c r="V6" s="86">
        <v>2018</v>
      </c>
      <c r="W6" s="86">
        <v>2019</v>
      </c>
      <c r="X6" s="86">
        <v>2020</v>
      </c>
      <c r="Y6" s="86">
        <v>2021</v>
      </c>
      <c r="Z6" s="92">
        <v>2022</v>
      </c>
      <c r="AA6" s="86">
        <v>2015</v>
      </c>
      <c r="AB6" s="85">
        <v>2016</v>
      </c>
      <c r="AC6" s="86">
        <v>2017</v>
      </c>
      <c r="AD6" s="86">
        <v>2018</v>
      </c>
      <c r="AE6" s="86">
        <v>2019</v>
      </c>
      <c r="AF6" s="86">
        <v>2020</v>
      </c>
      <c r="AG6" s="86">
        <v>2021</v>
      </c>
      <c r="AH6" s="92">
        <v>2022</v>
      </c>
      <c r="AI6" s="91">
        <v>2015</v>
      </c>
      <c r="AJ6" s="85">
        <v>2016</v>
      </c>
      <c r="AK6" s="86">
        <v>2017</v>
      </c>
      <c r="AL6" s="86">
        <v>2018</v>
      </c>
      <c r="AM6" s="86">
        <v>2019</v>
      </c>
      <c r="AN6" s="86">
        <v>2020</v>
      </c>
      <c r="AO6" s="86">
        <v>2021</v>
      </c>
      <c r="AP6" s="92">
        <v>2022</v>
      </c>
      <c r="AQ6" s="91">
        <v>2015</v>
      </c>
      <c r="AR6" s="85">
        <v>2016</v>
      </c>
      <c r="AS6" s="86">
        <v>2017</v>
      </c>
      <c r="AT6" s="86">
        <v>2018</v>
      </c>
      <c r="AU6" s="86">
        <v>2019</v>
      </c>
      <c r="AV6" s="86">
        <v>2020</v>
      </c>
      <c r="AW6" s="86">
        <v>2021</v>
      </c>
      <c r="AX6" s="92">
        <v>2022</v>
      </c>
      <c r="AY6" s="91">
        <v>2015</v>
      </c>
      <c r="AZ6" s="85">
        <v>2016</v>
      </c>
      <c r="BA6" s="86">
        <v>2017</v>
      </c>
      <c r="BB6" s="86">
        <v>2018</v>
      </c>
      <c r="BC6" s="86">
        <v>2019</v>
      </c>
      <c r="BD6" s="86">
        <v>2020</v>
      </c>
      <c r="BE6" s="86">
        <v>2021</v>
      </c>
      <c r="BF6" s="92">
        <v>2022</v>
      </c>
      <c r="BG6" s="91">
        <v>2015</v>
      </c>
      <c r="BH6" s="85">
        <v>2016</v>
      </c>
      <c r="BI6" s="86">
        <v>2017</v>
      </c>
      <c r="BJ6" s="86">
        <v>2018</v>
      </c>
      <c r="BK6" s="86">
        <v>2019</v>
      </c>
      <c r="BL6" s="86">
        <v>2020</v>
      </c>
      <c r="BM6" s="86">
        <v>2021</v>
      </c>
      <c r="BN6" s="92">
        <v>2022</v>
      </c>
      <c r="BO6" s="91">
        <v>2015</v>
      </c>
      <c r="BP6" s="85">
        <v>2016</v>
      </c>
      <c r="BQ6" s="86">
        <v>2017</v>
      </c>
      <c r="BR6" s="86">
        <v>2018</v>
      </c>
      <c r="BS6" s="86">
        <v>2019</v>
      </c>
      <c r="BT6" s="86">
        <v>2020</v>
      </c>
      <c r="BU6" s="86">
        <v>2021</v>
      </c>
      <c r="BV6" s="88">
        <v>2022</v>
      </c>
      <c r="BW6" s="86">
        <v>2020</v>
      </c>
      <c r="BX6" s="86">
        <v>2021</v>
      </c>
      <c r="BY6" s="88">
        <v>2022</v>
      </c>
      <c r="BZ6" s="86">
        <v>2020</v>
      </c>
      <c r="CA6" s="86">
        <v>2021</v>
      </c>
      <c r="CB6" s="88">
        <v>2022</v>
      </c>
      <c r="CC6" s="86"/>
      <c r="CD6" s="86">
        <v>2020</v>
      </c>
      <c r="CE6" s="86">
        <v>2021</v>
      </c>
      <c r="CF6" s="88">
        <v>2022</v>
      </c>
      <c r="CG6" s="86">
        <v>2020</v>
      </c>
      <c r="CH6" s="86">
        <v>2021</v>
      </c>
      <c r="CI6" s="88">
        <v>2022</v>
      </c>
      <c r="CJ6" s="88">
        <v>2022</v>
      </c>
      <c r="CK6" s="178"/>
      <c r="CL6" s="93"/>
    </row>
    <row r="7" spans="1:97" s="94" customFormat="1" ht="23.25" customHeight="1" x14ac:dyDescent="0.4">
      <c r="A7" s="95" t="s">
        <v>4</v>
      </c>
      <c r="B7" s="95"/>
      <c r="C7" s="96">
        <f t="shared" ref="C7:BK7" si="0">SUM(C8:C19)</f>
        <v>55267</v>
      </c>
      <c r="D7" s="97">
        <f t="shared" si="0"/>
        <v>70529</v>
      </c>
      <c r="E7" s="98">
        <f t="shared" si="0"/>
        <v>74582</v>
      </c>
      <c r="F7" s="98">
        <f t="shared" si="0"/>
        <v>74880</v>
      </c>
      <c r="G7" s="98">
        <f t="shared" si="0"/>
        <v>74295</v>
      </c>
      <c r="H7" s="121">
        <f t="shared" ref="H7:I7" si="1">SUM(H8:H19)</f>
        <v>21895</v>
      </c>
      <c r="I7" s="121">
        <f t="shared" si="1"/>
        <v>32822</v>
      </c>
      <c r="J7" s="99">
        <f t="shared" si="0"/>
        <v>50040</v>
      </c>
      <c r="K7" s="98">
        <f t="shared" si="0"/>
        <v>35033</v>
      </c>
      <c r="L7" s="97">
        <f t="shared" si="0"/>
        <v>37995</v>
      </c>
      <c r="M7" s="98">
        <f t="shared" si="0"/>
        <v>37197</v>
      </c>
      <c r="N7" s="98">
        <f t="shared" si="0"/>
        <v>35462</v>
      </c>
      <c r="O7" s="98">
        <f>SUM(O8:O19)</f>
        <v>40997</v>
      </c>
      <c r="P7" s="98">
        <f t="shared" ref="P7:R7" si="2">SUM(P8:P19)</f>
        <v>16146</v>
      </c>
      <c r="Q7" s="98">
        <f t="shared" si="2"/>
        <v>23439</v>
      </c>
      <c r="R7" s="100">
        <f t="shared" si="2"/>
        <v>41746</v>
      </c>
      <c r="S7" s="101">
        <f t="shared" si="0"/>
        <v>19313</v>
      </c>
      <c r="T7" s="97">
        <f t="shared" si="0"/>
        <v>20161</v>
      </c>
      <c r="U7" s="98">
        <f t="shared" si="0"/>
        <v>19338</v>
      </c>
      <c r="V7" s="98">
        <f t="shared" si="0"/>
        <v>20244</v>
      </c>
      <c r="W7" s="98">
        <f t="shared" si="0"/>
        <v>23182</v>
      </c>
      <c r="X7" s="98">
        <f t="shared" si="0"/>
        <v>9897</v>
      </c>
      <c r="Y7" s="98">
        <f t="shared" si="0"/>
        <v>13520</v>
      </c>
      <c r="Z7" s="100">
        <f t="shared" si="0"/>
        <v>22826</v>
      </c>
      <c r="AA7" s="98">
        <f>SUM(AA8:AA19)</f>
        <v>73634</v>
      </c>
      <c r="AB7" s="97">
        <f t="shared" ref="AB7:AE7" si="3">SUM(AB8:AB19)</f>
        <v>83110</v>
      </c>
      <c r="AC7" s="98">
        <f t="shared" si="3"/>
        <v>97379</v>
      </c>
      <c r="AD7" s="98">
        <f t="shared" si="3"/>
        <v>112756</v>
      </c>
      <c r="AE7" s="98">
        <f t="shared" si="3"/>
        <v>133300</v>
      </c>
      <c r="AF7" s="98">
        <f>SUM(AF8:AF19)</f>
        <v>29009</v>
      </c>
      <c r="AG7" s="98">
        <f>SUM(AG8:AG19)</f>
        <v>53027</v>
      </c>
      <c r="AH7" s="100">
        <f>SUM(AH8:AH19)</f>
        <v>80346</v>
      </c>
      <c r="AI7" s="98">
        <f t="shared" ref="AI7" si="4">SUM(AI8:AI19)</f>
        <v>33608</v>
      </c>
      <c r="AJ7" s="97">
        <f t="shared" si="0"/>
        <v>24403</v>
      </c>
      <c r="AK7" s="98">
        <f t="shared" si="0"/>
        <v>30642</v>
      </c>
      <c r="AL7" s="98">
        <f>SUM(AL8:AL19)</f>
        <v>42548</v>
      </c>
      <c r="AM7" s="98">
        <f t="shared" ref="AM7:AR7" si="5">SUM(AM8:AM19)</f>
        <v>50006</v>
      </c>
      <c r="AN7" s="98">
        <f t="shared" ref="AN7" si="6">SUM(AN8:AN19)</f>
        <v>21299</v>
      </c>
      <c r="AO7" s="98">
        <f>SUM(AO8:AO19)</f>
        <v>37905</v>
      </c>
      <c r="AP7" s="100">
        <f>SUM(AP8:AP19)</f>
        <v>60267</v>
      </c>
      <c r="AQ7" s="98">
        <f t="shared" si="5"/>
        <v>4729</v>
      </c>
      <c r="AR7" s="97">
        <f t="shared" si="5"/>
        <v>6299</v>
      </c>
      <c r="AS7" s="98">
        <f>SUM(AS8:AS19)</f>
        <v>6734</v>
      </c>
      <c r="AT7" s="98">
        <f t="shared" ref="AT7:AU7" si="7">SUM(AT8:AT19)</f>
        <v>5977</v>
      </c>
      <c r="AU7" s="98">
        <f t="shared" si="7"/>
        <v>5509</v>
      </c>
      <c r="AV7" s="98">
        <f t="shared" ref="AV7" si="8">SUM(AV8:AV19)</f>
        <v>1874</v>
      </c>
      <c r="AW7" s="98">
        <f>SUM(AW8:AW19)</f>
        <v>2158</v>
      </c>
      <c r="AX7" s="100">
        <f>SUM(AX8:AX19)</f>
        <v>4222</v>
      </c>
      <c r="AY7" s="98">
        <f t="shared" si="0"/>
        <v>9960</v>
      </c>
      <c r="AZ7" s="97">
        <f t="shared" si="0"/>
        <v>28179</v>
      </c>
      <c r="BA7" s="98">
        <f t="shared" si="0"/>
        <v>35751</v>
      </c>
      <c r="BB7" s="98">
        <f t="shared" si="0"/>
        <v>36566</v>
      </c>
      <c r="BC7" s="98">
        <f>SUM(BC8:BC19)</f>
        <v>43772</v>
      </c>
      <c r="BD7" s="98">
        <f t="shared" ref="BD7" si="9">SUM(BD8:BD19)</f>
        <v>7040</v>
      </c>
      <c r="BE7" s="98">
        <f>SUM(BE8:BE19)</f>
        <v>5895</v>
      </c>
      <c r="BF7" s="100">
        <f>SUM(BF8:BF19)</f>
        <v>11173</v>
      </c>
      <c r="BG7" s="102" t="s">
        <v>54</v>
      </c>
      <c r="BH7" s="102" t="s">
        <v>54</v>
      </c>
      <c r="BI7" s="98">
        <f t="shared" ref="BI7:BJ7" si="10">SUM(BI8:BI19)</f>
        <v>7077</v>
      </c>
      <c r="BJ7" s="98">
        <f t="shared" si="10"/>
        <v>23329</v>
      </c>
      <c r="BK7" s="98">
        <f t="shared" si="0"/>
        <v>55132</v>
      </c>
      <c r="BL7" s="98">
        <f>SUM(BL8:BL19)</f>
        <v>19861</v>
      </c>
      <c r="BM7" s="98">
        <f>SUM(BM8:BM19)</f>
        <v>42682</v>
      </c>
      <c r="BN7" s="100">
        <f>SUM(BN8:BN19)</f>
        <v>62360</v>
      </c>
      <c r="BO7" s="102" t="s">
        <v>54</v>
      </c>
      <c r="BP7" s="102" t="s">
        <v>54</v>
      </c>
      <c r="BQ7" s="102" t="s">
        <v>54</v>
      </c>
      <c r="BR7" s="98">
        <f t="shared" ref="BR7:BS7" si="11">SUM(BR8:BR19)</f>
        <v>105807</v>
      </c>
      <c r="BS7" s="98">
        <f t="shared" si="11"/>
        <v>111372</v>
      </c>
      <c r="BT7" s="98">
        <f t="shared" ref="BT7:CB7" si="12">SUM(BT8:BT19)</f>
        <v>25583</v>
      </c>
      <c r="BU7" s="98">
        <f t="shared" si="12"/>
        <v>54167</v>
      </c>
      <c r="BV7" s="100">
        <f t="shared" si="12"/>
        <v>69863</v>
      </c>
      <c r="BW7" s="98">
        <f t="shared" si="12"/>
        <v>1791</v>
      </c>
      <c r="BX7" s="98">
        <f t="shared" si="12"/>
        <v>10004</v>
      </c>
      <c r="BY7" s="100">
        <f t="shared" si="12"/>
        <v>8483</v>
      </c>
      <c r="BZ7" s="98">
        <f t="shared" si="12"/>
        <v>1272</v>
      </c>
      <c r="CA7" s="98">
        <f t="shared" si="12"/>
        <v>2816</v>
      </c>
      <c r="CB7" s="100">
        <f t="shared" si="12"/>
        <v>6085</v>
      </c>
      <c r="CC7" s="98"/>
      <c r="CD7" s="98">
        <f t="shared" ref="CD7:CJ7" si="13">SUM(CD8:CD19)</f>
        <v>6232</v>
      </c>
      <c r="CE7" s="98">
        <f t="shared" si="13"/>
        <v>9490</v>
      </c>
      <c r="CF7" s="100">
        <f t="shared" si="13"/>
        <v>16011</v>
      </c>
      <c r="CG7" s="98">
        <f t="shared" si="13"/>
        <v>562</v>
      </c>
      <c r="CH7" s="98">
        <f t="shared" si="13"/>
        <v>4953</v>
      </c>
      <c r="CI7" s="100">
        <f t="shared" si="13"/>
        <v>10414</v>
      </c>
      <c r="CJ7" s="100">
        <f t="shared" si="13"/>
        <v>7910</v>
      </c>
      <c r="CK7" s="103" t="s">
        <v>5</v>
      </c>
    </row>
    <row r="8" spans="1:97" s="94" customFormat="1" ht="23.25" customHeight="1" x14ac:dyDescent="0.4">
      <c r="A8" s="104" t="s">
        <v>10</v>
      </c>
      <c r="B8" s="105"/>
      <c r="C8" s="106">
        <v>5133</v>
      </c>
      <c r="D8" s="107">
        <v>5249</v>
      </c>
      <c r="E8" s="108">
        <v>7544</v>
      </c>
      <c r="F8" s="108">
        <v>6791</v>
      </c>
      <c r="G8" s="108">
        <v>6945</v>
      </c>
      <c r="H8" s="108">
        <v>6817</v>
      </c>
      <c r="I8" s="108">
        <v>2315</v>
      </c>
      <c r="J8" s="128">
        <v>4782</v>
      </c>
      <c r="K8" s="108">
        <v>2941</v>
      </c>
      <c r="L8" s="107">
        <v>3280</v>
      </c>
      <c r="M8" s="108">
        <v>3457</v>
      </c>
      <c r="N8" s="108">
        <v>3495</v>
      </c>
      <c r="O8" s="108">
        <v>3591</v>
      </c>
      <c r="P8" s="108">
        <v>3869</v>
      </c>
      <c r="Q8" s="108">
        <v>1760</v>
      </c>
      <c r="R8" s="129">
        <v>3912</v>
      </c>
      <c r="S8" s="109">
        <v>2007</v>
      </c>
      <c r="T8" s="107">
        <f>1758+41</f>
        <v>1799</v>
      </c>
      <c r="U8" s="108">
        <f>1669+47</f>
        <v>1716</v>
      </c>
      <c r="V8" s="108">
        <f>1544+55</f>
        <v>1599</v>
      </c>
      <c r="W8" s="108">
        <f>2209+52</f>
        <v>2261</v>
      </c>
      <c r="X8" s="108">
        <v>2128</v>
      </c>
      <c r="Y8" s="108">
        <v>896</v>
      </c>
      <c r="Z8" s="129">
        <v>2371</v>
      </c>
      <c r="AA8" s="108">
        <v>4579</v>
      </c>
      <c r="AB8" s="107">
        <v>6469</v>
      </c>
      <c r="AC8" s="108">
        <v>7133</v>
      </c>
      <c r="AD8" s="108">
        <v>10095</v>
      </c>
      <c r="AE8" s="108">
        <v>9996</v>
      </c>
      <c r="AF8" s="108">
        <v>11577</v>
      </c>
      <c r="AG8" s="108">
        <v>2593</v>
      </c>
      <c r="AH8" s="129">
        <v>5868</v>
      </c>
      <c r="AI8" s="108">
        <v>3607</v>
      </c>
      <c r="AJ8" s="107">
        <v>2146</v>
      </c>
      <c r="AK8" s="108">
        <v>1859</v>
      </c>
      <c r="AL8" s="108">
        <v>4296</v>
      </c>
      <c r="AM8" s="108">
        <v>4487</v>
      </c>
      <c r="AN8" s="108">
        <v>5987</v>
      </c>
      <c r="AO8" s="108">
        <v>2663</v>
      </c>
      <c r="AP8" s="129">
        <v>4714</v>
      </c>
      <c r="AQ8" s="108">
        <f>345+6</f>
        <v>351</v>
      </c>
      <c r="AR8" s="107">
        <f>605+20</f>
        <v>625</v>
      </c>
      <c r="AS8" s="108">
        <f>435+20</f>
        <v>455</v>
      </c>
      <c r="AT8" s="108">
        <f>711+33</f>
        <v>744</v>
      </c>
      <c r="AU8" s="108">
        <f>668+22</f>
        <v>690</v>
      </c>
      <c r="AV8" s="108">
        <v>536</v>
      </c>
      <c r="AW8" s="108">
        <v>161</v>
      </c>
      <c r="AX8" s="129">
        <v>369</v>
      </c>
      <c r="AY8" s="108" t="s">
        <v>54</v>
      </c>
      <c r="AZ8" s="107">
        <v>2300</v>
      </c>
      <c r="BA8" s="108">
        <v>2532</v>
      </c>
      <c r="BB8" s="108">
        <v>2857</v>
      </c>
      <c r="BC8" s="108">
        <v>3575</v>
      </c>
      <c r="BD8" s="108">
        <v>2863</v>
      </c>
      <c r="BE8" s="108">
        <v>335</v>
      </c>
      <c r="BF8" s="129">
        <v>1169</v>
      </c>
      <c r="BG8" s="108" t="s">
        <v>54</v>
      </c>
      <c r="BH8" s="108" t="s">
        <v>54</v>
      </c>
      <c r="BI8" s="108" t="s">
        <v>54</v>
      </c>
      <c r="BJ8" s="108">
        <v>1871</v>
      </c>
      <c r="BK8" s="108">
        <v>2695</v>
      </c>
      <c r="BL8" s="108">
        <v>7497</v>
      </c>
      <c r="BM8" s="108">
        <v>2476</v>
      </c>
      <c r="BN8" s="129">
        <v>5190</v>
      </c>
      <c r="BO8" s="108" t="s">
        <v>54</v>
      </c>
      <c r="BP8" s="108" t="s">
        <v>54</v>
      </c>
      <c r="BQ8" s="108" t="s">
        <v>54</v>
      </c>
      <c r="BR8" s="108">
        <v>9257</v>
      </c>
      <c r="BS8" s="108">
        <v>9636</v>
      </c>
      <c r="BT8" s="108">
        <v>8201</v>
      </c>
      <c r="BU8" s="108">
        <v>3933</v>
      </c>
      <c r="BV8" s="129">
        <v>4207</v>
      </c>
      <c r="BW8" s="108" t="s">
        <v>54</v>
      </c>
      <c r="BX8" s="108">
        <v>648</v>
      </c>
      <c r="BY8" s="129">
        <v>875</v>
      </c>
      <c r="BZ8" s="108" t="s">
        <v>54</v>
      </c>
      <c r="CA8" s="108">
        <v>161</v>
      </c>
      <c r="CB8" s="129">
        <v>453</v>
      </c>
      <c r="CC8" s="108" t="s">
        <v>54</v>
      </c>
      <c r="CD8" s="108">
        <v>1309</v>
      </c>
      <c r="CE8" s="108">
        <v>709</v>
      </c>
      <c r="CF8" s="129">
        <v>1133</v>
      </c>
      <c r="CG8" s="108"/>
      <c r="CH8" s="108">
        <v>385</v>
      </c>
      <c r="CI8" s="129">
        <v>611</v>
      </c>
      <c r="CJ8" s="129"/>
      <c r="CK8" s="110" t="s">
        <v>11</v>
      </c>
      <c r="CP8" s="64"/>
      <c r="CQ8" s="64"/>
      <c r="CR8" s="64"/>
      <c r="CS8" s="64"/>
    </row>
    <row r="9" spans="1:97" s="94" customFormat="1" ht="23.25" customHeight="1" x14ac:dyDescent="0.4">
      <c r="A9" s="104" t="s">
        <v>12</v>
      </c>
      <c r="B9" s="105"/>
      <c r="C9" s="106">
        <v>4319</v>
      </c>
      <c r="D9" s="107">
        <v>5687</v>
      </c>
      <c r="E9" s="108">
        <v>6651</v>
      </c>
      <c r="F9" s="108">
        <v>6407</v>
      </c>
      <c r="G9" s="108">
        <v>6125</v>
      </c>
      <c r="H9" s="108">
        <v>4928</v>
      </c>
      <c r="I9" s="108">
        <v>2283</v>
      </c>
      <c r="J9" s="128">
        <v>3631</v>
      </c>
      <c r="K9" s="108">
        <v>2675</v>
      </c>
      <c r="L9" s="107">
        <v>2670</v>
      </c>
      <c r="M9" s="108">
        <v>2561</v>
      </c>
      <c r="N9" s="108">
        <v>2554</v>
      </c>
      <c r="O9" s="108">
        <v>3031</v>
      </c>
      <c r="P9" s="108">
        <v>3148</v>
      </c>
      <c r="Q9" s="108">
        <v>1199</v>
      </c>
      <c r="R9" s="129">
        <v>2695</v>
      </c>
      <c r="S9" s="109">
        <f>1371+38</f>
        <v>1409</v>
      </c>
      <c r="T9" s="107">
        <f>1209+43</f>
        <v>1252</v>
      </c>
      <c r="U9" s="108">
        <f>1135+37</f>
        <v>1172</v>
      </c>
      <c r="V9" s="108">
        <f>1184+39</f>
        <v>1223</v>
      </c>
      <c r="W9" s="108">
        <f>1635+30</f>
        <v>1665</v>
      </c>
      <c r="X9" s="108">
        <v>1671</v>
      </c>
      <c r="Y9" s="108">
        <v>453</v>
      </c>
      <c r="Z9" s="129">
        <v>1520</v>
      </c>
      <c r="AA9" s="108">
        <v>5994</v>
      </c>
      <c r="AB9" s="107">
        <v>5812</v>
      </c>
      <c r="AC9" s="108">
        <v>6573</v>
      </c>
      <c r="AD9" s="108">
        <v>9394</v>
      </c>
      <c r="AE9" s="108">
        <v>9867</v>
      </c>
      <c r="AF9" s="108">
        <v>9168</v>
      </c>
      <c r="AG9" s="108">
        <v>2808</v>
      </c>
      <c r="AH9" s="129">
        <v>5302</v>
      </c>
      <c r="AI9" s="108">
        <v>3113</v>
      </c>
      <c r="AJ9" s="107">
        <v>2889</v>
      </c>
      <c r="AK9" s="108">
        <v>2223</v>
      </c>
      <c r="AL9" s="108">
        <v>4072</v>
      </c>
      <c r="AM9" s="108">
        <v>4485</v>
      </c>
      <c r="AN9" s="108">
        <v>4756</v>
      </c>
      <c r="AO9" s="108">
        <v>2815</v>
      </c>
      <c r="AP9" s="129">
        <v>4869</v>
      </c>
      <c r="AQ9" s="108">
        <f>256+14</f>
        <v>270</v>
      </c>
      <c r="AR9" s="107">
        <f>280+10</f>
        <v>290</v>
      </c>
      <c r="AS9" s="108">
        <f>318+16</f>
        <v>334</v>
      </c>
      <c r="AT9" s="108">
        <f>711+33</f>
        <v>744</v>
      </c>
      <c r="AU9" s="108">
        <f>408+9</f>
        <v>417</v>
      </c>
      <c r="AV9" s="108">
        <v>380</v>
      </c>
      <c r="AW9" s="108">
        <v>39</v>
      </c>
      <c r="AX9" s="129">
        <v>177</v>
      </c>
      <c r="AY9" s="108" t="s">
        <v>54</v>
      </c>
      <c r="AZ9" s="107">
        <v>2650</v>
      </c>
      <c r="BA9" s="108">
        <v>2427</v>
      </c>
      <c r="BB9" s="108">
        <v>3489</v>
      </c>
      <c r="BC9" s="108">
        <v>3505</v>
      </c>
      <c r="BD9" s="108">
        <v>2080</v>
      </c>
      <c r="BE9" s="108">
        <v>268</v>
      </c>
      <c r="BF9" s="129">
        <v>629</v>
      </c>
      <c r="BG9" s="108" t="s">
        <v>54</v>
      </c>
      <c r="BH9" s="108" t="s">
        <v>54</v>
      </c>
      <c r="BI9" s="108" t="s">
        <v>54</v>
      </c>
      <c r="BJ9" s="108">
        <v>2734</v>
      </c>
      <c r="BK9" s="108">
        <v>3408</v>
      </c>
      <c r="BL9" s="108">
        <v>5882</v>
      </c>
      <c r="BM9" s="108">
        <v>2531</v>
      </c>
      <c r="BN9" s="129">
        <v>4774</v>
      </c>
      <c r="BO9" s="108" t="s">
        <v>54</v>
      </c>
      <c r="BP9" s="108" t="s">
        <v>54</v>
      </c>
      <c r="BQ9" s="108" t="s">
        <v>54</v>
      </c>
      <c r="BR9" s="108">
        <v>8027</v>
      </c>
      <c r="BS9" s="108">
        <v>8897</v>
      </c>
      <c r="BT9" s="108">
        <v>7364</v>
      </c>
      <c r="BU9" s="108">
        <v>3681</v>
      </c>
      <c r="BV9" s="129">
        <v>5288</v>
      </c>
      <c r="BW9" s="108" t="s">
        <v>54</v>
      </c>
      <c r="BX9" s="108">
        <v>619</v>
      </c>
      <c r="BY9" s="129">
        <v>614</v>
      </c>
      <c r="BZ9" s="108">
        <v>451</v>
      </c>
      <c r="CA9" s="108">
        <v>135</v>
      </c>
      <c r="CB9" s="129">
        <v>550</v>
      </c>
      <c r="CC9" s="108" t="s">
        <v>54</v>
      </c>
      <c r="CD9" s="108">
        <v>1228</v>
      </c>
      <c r="CE9" s="108">
        <v>519</v>
      </c>
      <c r="CF9" s="129">
        <v>951</v>
      </c>
      <c r="CG9" s="108"/>
      <c r="CH9" s="108">
        <v>249</v>
      </c>
      <c r="CI9" s="129">
        <v>489</v>
      </c>
      <c r="CJ9" s="129">
        <v>156</v>
      </c>
      <c r="CK9" s="110" t="s">
        <v>13</v>
      </c>
    </row>
    <row r="10" spans="1:97" s="94" customFormat="1" ht="23.25" customHeight="1" x14ac:dyDescent="0.4">
      <c r="A10" s="104" t="s">
        <v>14</v>
      </c>
      <c r="B10" s="105"/>
      <c r="C10" s="106">
        <v>4772</v>
      </c>
      <c r="D10" s="107">
        <v>5225</v>
      </c>
      <c r="E10" s="108">
        <v>6218</v>
      </c>
      <c r="F10" s="108">
        <v>6155</v>
      </c>
      <c r="G10" s="108">
        <v>6616</v>
      </c>
      <c r="H10" s="108">
        <v>3494</v>
      </c>
      <c r="I10" s="108">
        <v>2366</v>
      </c>
      <c r="J10" s="128">
        <v>4362</v>
      </c>
      <c r="K10" s="108">
        <v>3163</v>
      </c>
      <c r="L10" s="107">
        <v>3037</v>
      </c>
      <c r="M10" s="108">
        <v>3056</v>
      </c>
      <c r="N10" s="108">
        <v>2920</v>
      </c>
      <c r="O10" s="108">
        <v>3379</v>
      </c>
      <c r="P10" s="108">
        <v>2512</v>
      </c>
      <c r="Q10" s="108">
        <v>1344</v>
      </c>
      <c r="R10" s="129">
        <v>3622</v>
      </c>
      <c r="S10" s="109">
        <f>1699+62</f>
        <v>1761</v>
      </c>
      <c r="T10" s="107">
        <f>1750+47</f>
        <v>1797</v>
      </c>
      <c r="U10" s="108">
        <f>1761+58</f>
        <v>1819</v>
      </c>
      <c r="V10" s="108">
        <f>1652+52</f>
        <v>1704</v>
      </c>
      <c r="W10" s="108">
        <f>2617+78</f>
        <v>2695</v>
      </c>
      <c r="X10" s="108">
        <v>1873</v>
      </c>
      <c r="Y10" s="108">
        <v>666</v>
      </c>
      <c r="Z10" s="129">
        <v>267</v>
      </c>
      <c r="AA10" s="108">
        <v>6153</v>
      </c>
      <c r="AB10" s="107">
        <v>6446</v>
      </c>
      <c r="AC10" s="108">
        <v>6627</v>
      </c>
      <c r="AD10" s="108">
        <v>9397</v>
      </c>
      <c r="AE10" s="108">
        <v>10068</v>
      </c>
      <c r="AF10" s="108">
        <v>4076</v>
      </c>
      <c r="AG10" s="108">
        <v>2831</v>
      </c>
      <c r="AH10" s="129">
        <v>6601</v>
      </c>
      <c r="AI10" s="108">
        <v>2907</v>
      </c>
      <c r="AJ10" s="107">
        <v>2105</v>
      </c>
      <c r="AK10" s="108">
        <v>2304</v>
      </c>
      <c r="AL10" s="108">
        <v>4168</v>
      </c>
      <c r="AM10" s="108">
        <v>5162</v>
      </c>
      <c r="AN10" s="108">
        <v>3418</v>
      </c>
      <c r="AO10" s="108">
        <v>3005</v>
      </c>
      <c r="AP10" s="129">
        <v>8410</v>
      </c>
      <c r="AQ10" s="108">
        <f>229+9</f>
        <v>238</v>
      </c>
      <c r="AR10" s="107">
        <f>482+22</f>
        <v>504</v>
      </c>
      <c r="AS10" s="108">
        <f>475+18</f>
        <v>493</v>
      </c>
      <c r="AT10" s="108">
        <f>354+15</f>
        <v>369</v>
      </c>
      <c r="AU10" s="108">
        <f>458+23</f>
        <v>481</v>
      </c>
      <c r="AV10" s="108">
        <v>252</v>
      </c>
      <c r="AW10" s="108">
        <v>50</v>
      </c>
      <c r="AX10" s="129">
        <v>303</v>
      </c>
      <c r="AY10" s="108" t="s">
        <v>54</v>
      </c>
      <c r="AZ10" s="107">
        <v>1841</v>
      </c>
      <c r="BA10" s="108">
        <v>2269</v>
      </c>
      <c r="BB10" s="108">
        <v>2528</v>
      </c>
      <c r="BC10" s="108">
        <v>3571</v>
      </c>
      <c r="BD10" s="108">
        <v>856</v>
      </c>
      <c r="BE10" s="108">
        <v>323</v>
      </c>
      <c r="BF10" s="129">
        <v>629</v>
      </c>
      <c r="BG10" s="108" t="s">
        <v>54</v>
      </c>
      <c r="BH10" s="108" t="s">
        <v>54</v>
      </c>
      <c r="BI10" s="108" t="s">
        <v>54</v>
      </c>
      <c r="BJ10" s="108">
        <v>1940</v>
      </c>
      <c r="BK10" s="108">
        <v>3232</v>
      </c>
      <c r="BL10" s="108">
        <v>2983</v>
      </c>
      <c r="BM10" s="108">
        <v>2976</v>
      </c>
      <c r="BN10" s="129">
        <v>6057</v>
      </c>
      <c r="BO10" s="108" t="s">
        <v>54</v>
      </c>
      <c r="BP10" s="108" t="s">
        <v>54</v>
      </c>
      <c r="BQ10" s="108" t="s">
        <v>54</v>
      </c>
      <c r="BR10" s="108">
        <v>8265</v>
      </c>
      <c r="BS10" s="108">
        <v>9388</v>
      </c>
      <c r="BT10" s="108">
        <v>3346</v>
      </c>
      <c r="BU10" s="108">
        <v>3994</v>
      </c>
      <c r="BV10" s="129">
        <v>6533</v>
      </c>
      <c r="BW10" s="108" t="s">
        <v>54</v>
      </c>
      <c r="BX10" s="108">
        <v>1091</v>
      </c>
      <c r="BY10" s="129">
        <v>627</v>
      </c>
      <c r="BZ10" s="108">
        <v>341</v>
      </c>
      <c r="CA10" s="108">
        <v>164</v>
      </c>
      <c r="CB10" s="129">
        <v>428</v>
      </c>
      <c r="CC10" s="108" t="s">
        <v>54</v>
      </c>
      <c r="CD10" s="108">
        <v>1137</v>
      </c>
      <c r="CE10" s="108">
        <v>598</v>
      </c>
      <c r="CF10" s="129">
        <v>1184</v>
      </c>
      <c r="CG10" s="108"/>
      <c r="CH10" s="108">
        <v>313</v>
      </c>
      <c r="CI10" s="129">
        <v>696</v>
      </c>
      <c r="CJ10" s="129">
        <v>314</v>
      </c>
      <c r="CK10" s="110" t="s">
        <v>15</v>
      </c>
    </row>
    <row r="11" spans="1:97" s="94" customFormat="1" ht="23.25" customHeight="1" x14ac:dyDescent="0.4">
      <c r="A11" s="104" t="s">
        <v>16</v>
      </c>
      <c r="B11" s="105"/>
      <c r="C11" s="106">
        <v>4117</v>
      </c>
      <c r="D11" s="107">
        <v>4520</v>
      </c>
      <c r="E11" s="108">
        <v>6077</v>
      </c>
      <c r="F11" s="108">
        <v>6992</v>
      </c>
      <c r="G11" s="108">
        <v>6811</v>
      </c>
      <c r="H11" s="108">
        <v>388</v>
      </c>
      <c r="I11" s="108">
        <v>2122</v>
      </c>
      <c r="J11" s="128">
        <v>3905</v>
      </c>
      <c r="K11" s="108">
        <v>2499</v>
      </c>
      <c r="L11" s="107">
        <v>3088</v>
      </c>
      <c r="M11" s="108">
        <v>3009</v>
      </c>
      <c r="N11" s="108">
        <v>2930</v>
      </c>
      <c r="O11" s="108">
        <v>3494</v>
      </c>
      <c r="P11" s="108">
        <v>351</v>
      </c>
      <c r="Q11" s="108">
        <v>1197</v>
      </c>
      <c r="R11" s="129">
        <v>2980</v>
      </c>
      <c r="S11" s="109">
        <f>1585+45</f>
        <v>1630</v>
      </c>
      <c r="T11" s="107">
        <f>1335+40</f>
        <v>1375</v>
      </c>
      <c r="U11" s="108">
        <f>1314+29</f>
        <v>1343</v>
      </c>
      <c r="V11" s="108">
        <f>1644+37</f>
        <v>1681</v>
      </c>
      <c r="W11" s="108">
        <f>2028+45</f>
        <v>2073</v>
      </c>
      <c r="X11" s="108">
        <v>700</v>
      </c>
      <c r="Y11" s="108">
        <v>732</v>
      </c>
      <c r="Z11" s="129">
        <v>1887</v>
      </c>
      <c r="AA11" s="108">
        <v>5584</v>
      </c>
      <c r="AB11" s="107">
        <v>5521</v>
      </c>
      <c r="AC11" s="108">
        <v>6127</v>
      </c>
      <c r="AD11" s="108">
        <v>8121</v>
      </c>
      <c r="AE11" s="108">
        <v>10993</v>
      </c>
      <c r="AF11" s="108">
        <v>25</v>
      </c>
      <c r="AG11" s="108">
        <v>2471</v>
      </c>
      <c r="AH11" s="129">
        <v>6097</v>
      </c>
      <c r="AI11" s="108">
        <v>2170</v>
      </c>
      <c r="AJ11" s="107">
        <v>1718</v>
      </c>
      <c r="AK11" s="108">
        <v>1948</v>
      </c>
      <c r="AL11" s="108">
        <v>3318</v>
      </c>
      <c r="AM11" s="108">
        <v>4156</v>
      </c>
      <c r="AN11" s="108">
        <v>304</v>
      </c>
      <c r="AO11" s="108">
        <v>1886</v>
      </c>
      <c r="AP11" s="129">
        <v>4736</v>
      </c>
      <c r="AQ11" s="108">
        <v>249</v>
      </c>
      <c r="AR11" s="107">
        <f>434+11</f>
        <v>445</v>
      </c>
      <c r="AS11" s="108">
        <f>403+13</f>
        <v>416</v>
      </c>
      <c r="AT11" s="108">
        <f>355+4</f>
        <v>359</v>
      </c>
      <c r="AU11" s="108">
        <f>376+20</f>
        <v>396</v>
      </c>
      <c r="AV11" s="108">
        <v>49</v>
      </c>
      <c r="AW11" s="108">
        <v>96</v>
      </c>
      <c r="AX11" s="129">
        <v>228</v>
      </c>
      <c r="AY11" s="108" t="s">
        <v>54</v>
      </c>
      <c r="AZ11" s="107">
        <v>1830</v>
      </c>
      <c r="BA11" s="108">
        <v>2993</v>
      </c>
      <c r="BB11" s="108">
        <v>2238</v>
      </c>
      <c r="BC11" s="108">
        <v>3382</v>
      </c>
      <c r="BD11" s="108">
        <v>122</v>
      </c>
      <c r="BE11" s="108">
        <v>263</v>
      </c>
      <c r="BF11" s="129">
        <v>737</v>
      </c>
      <c r="BG11" s="108" t="s">
        <v>54</v>
      </c>
      <c r="BH11" s="108" t="s">
        <v>54</v>
      </c>
      <c r="BI11" s="108" t="s">
        <v>54</v>
      </c>
      <c r="BJ11" s="108">
        <v>1803</v>
      </c>
      <c r="BK11" s="108">
        <v>3852</v>
      </c>
      <c r="BL11" s="108">
        <v>66</v>
      </c>
      <c r="BM11" s="108">
        <v>2181</v>
      </c>
      <c r="BN11" s="129">
        <v>4716</v>
      </c>
      <c r="BO11" s="108" t="s">
        <v>54</v>
      </c>
      <c r="BP11" s="108" t="s">
        <v>54</v>
      </c>
      <c r="BQ11" s="108" t="s">
        <v>54</v>
      </c>
      <c r="BR11" s="108">
        <v>7852</v>
      </c>
      <c r="BS11" s="108">
        <v>9599</v>
      </c>
      <c r="BT11" s="108">
        <v>0</v>
      </c>
      <c r="BU11" s="108">
        <v>3600</v>
      </c>
      <c r="BV11" s="129">
        <v>5369</v>
      </c>
      <c r="BW11" s="108" t="s">
        <v>54</v>
      </c>
      <c r="BX11" s="108">
        <v>579</v>
      </c>
      <c r="BY11" s="129">
        <v>609</v>
      </c>
      <c r="BZ11" s="108">
        <v>74</v>
      </c>
      <c r="CA11" s="108">
        <v>112</v>
      </c>
      <c r="CB11" s="129">
        <v>420</v>
      </c>
      <c r="CC11" s="108" t="s">
        <v>54</v>
      </c>
      <c r="CD11" s="108">
        <v>261</v>
      </c>
      <c r="CE11" s="108">
        <v>437</v>
      </c>
      <c r="CF11" s="129">
        <v>947</v>
      </c>
      <c r="CG11" s="108"/>
      <c r="CH11" s="108">
        <v>221</v>
      </c>
      <c r="CI11" s="129">
        <v>547</v>
      </c>
      <c r="CJ11" s="129">
        <v>291</v>
      </c>
      <c r="CK11" s="110" t="s">
        <v>17</v>
      </c>
      <c r="CP11" s="64"/>
      <c r="CQ11" s="64"/>
      <c r="CR11" s="64"/>
      <c r="CS11" s="64"/>
    </row>
    <row r="12" spans="1:97" s="94" customFormat="1" ht="23.25" customHeight="1" x14ac:dyDescent="0.4">
      <c r="A12" s="104" t="s">
        <v>18</v>
      </c>
      <c r="B12" s="105"/>
      <c r="C12" s="106">
        <v>4213</v>
      </c>
      <c r="D12" s="107">
        <v>4553</v>
      </c>
      <c r="E12" s="108">
        <v>4850</v>
      </c>
      <c r="F12" s="108">
        <v>4897</v>
      </c>
      <c r="G12" s="108">
        <v>5217</v>
      </c>
      <c r="H12" s="108">
        <v>71</v>
      </c>
      <c r="I12" s="108">
        <v>1439</v>
      </c>
      <c r="J12" s="128">
        <v>3660</v>
      </c>
      <c r="K12" s="108">
        <v>2466</v>
      </c>
      <c r="L12" s="107">
        <v>3088</v>
      </c>
      <c r="M12" s="108">
        <v>2666</v>
      </c>
      <c r="N12" s="108">
        <v>2398</v>
      </c>
      <c r="O12" s="108">
        <v>2918</v>
      </c>
      <c r="P12" s="108">
        <v>85</v>
      </c>
      <c r="Q12" s="108">
        <v>697</v>
      </c>
      <c r="R12" s="129">
        <v>2851</v>
      </c>
      <c r="S12" s="108">
        <f>1490+61</f>
        <v>1551</v>
      </c>
      <c r="T12" s="107">
        <f>1408+47</f>
        <v>1455</v>
      </c>
      <c r="U12" s="108">
        <f>1724+50</f>
        <v>1774</v>
      </c>
      <c r="V12" s="108">
        <f>1472+28</f>
        <v>1500</v>
      </c>
      <c r="W12" s="108">
        <f>1679+28</f>
        <v>1707</v>
      </c>
      <c r="X12" s="108">
        <v>47</v>
      </c>
      <c r="Y12" s="108">
        <v>391</v>
      </c>
      <c r="Z12" s="129">
        <v>2168</v>
      </c>
      <c r="AA12" s="108">
        <v>5510</v>
      </c>
      <c r="AB12" s="107">
        <v>6195</v>
      </c>
      <c r="AC12" s="108">
        <v>6796</v>
      </c>
      <c r="AD12" s="108">
        <v>6501</v>
      </c>
      <c r="AE12" s="108">
        <v>9011</v>
      </c>
      <c r="AF12" s="108">
        <v>0</v>
      </c>
      <c r="AG12" s="108">
        <v>2533</v>
      </c>
      <c r="AH12" s="129">
        <v>6615</v>
      </c>
      <c r="AI12" s="108">
        <v>2325</v>
      </c>
      <c r="AJ12" s="107">
        <v>1647</v>
      </c>
      <c r="AK12" s="108">
        <v>1781</v>
      </c>
      <c r="AL12" s="108">
        <v>2507</v>
      </c>
      <c r="AM12" s="108">
        <v>2941</v>
      </c>
      <c r="AN12" s="108">
        <v>31</v>
      </c>
      <c r="AO12" s="108">
        <v>1243</v>
      </c>
      <c r="AP12" s="129">
        <v>4574</v>
      </c>
      <c r="AQ12" s="108">
        <f>422+10</f>
        <v>432</v>
      </c>
      <c r="AR12" s="107">
        <f>439+18</f>
        <v>457</v>
      </c>
      <c r="AS12" s="108">
        <f>537+20</f>
        <v>557</v>
      </c>
      <c r="AT12" s="108">
        <f>356+12</f>
        <v>368</v>
      </c>
      <c r="AU12" s="108">
        <f>333+18</f>
        <v>351</v>
      </c>
      <c r="AV12" s="108">
        <v>3</v>
      </c>
      <c r="AW12" s="108">
        <v>44</v>
      </c>
      <c r="AX12" s="129">
        <v>303</v>
      </c>
      <c r="AY12" s="108">
        <v>220</v>
      </c>
      <c r="AZ12" s="107">
        <v>1925</v>
      </c>
      <c r="BA12" s="108">
        <v>2971</v>
      </c>
      <c r="BB12" s="108">
        <v>2512</v>
      </c>
      <c r="BC12" s="108">
        <v>3592</v>
      </c>
      <c r="BD12" s="108">
        <v>2</v>
      </c>
      <c r="BE12" s="108">
        <v>231</v>
      </c>
      <c r="BF12" s="129">
        <v>997</v>
      </c>
      <c r="BG12" s="108" t="s">
        <v>54</v>
      </c>
      <c r="BH12" s="108" t="s">
        <v>54</v>
      </c>
      <c r="BI12" s="108" t="s">
        <v>54</v>
      </c>
      <c r="BJ12" s="108">
        <v>1331</v>
      </c>
      <c r="BK12" s="108">
        <f>4+60+114+2687</f>
        <v>2865</v>
      </c>
      <c r="BL12" s="108">
        <v>0</v>
      </c>
      <c r="BM12" s="108">
        <v>1503</v>
      </c>
      <c r="BN12" s="129">
        <v>5454</v>
      </c>
      <c r="BO12" s="108" t="s">
        <v>54</v>
      </c>
      <c r="BP12" s="108" t="s">
        <v>54</v>
      </c>
      <c r="BQ12" s="108" t="s">
        <v>54</v>
      </c>
      <c r="BR12" s="108">
        <v>7494</v>
      </c>
      <c r="BS12" s="108">
        <v>9310</v>
      </c>
      <c r="BT12" s="108">
        <v>0</v>
      </c>
      <c r="BU12" s="108">
        <v>3681</v>
      </c>
      <c r="BV12" s="129">
        <v>6571</v>
      </c>
      <c r="BW12" s="108" t="s">
        <v>54</v>
      </c>
      <c r="BX12" s="108">
        <v>281</v>
      </c>
      <c r="BY12" s="129">
        <v>731</v>
      </c>
      <c r="BZ12" s="108">
        <v>1</v>
      </c>
      <c r="CA12" s="108">
        <v>69</v>
      </c>
      <c r="CB12" s="129">
        <v>379</v>
      </c>
      <c r="CC12" s="108" t="s">
        <v>54</v>
      </c>
      <c r="CD12" s="108">
        <v>38</v>
      </c>
      <c r="CE12" s="108">
        <v>307</v>
      </c>
      <c r="CF12" s="129">
        <v>1336</v>
      </c>
      <c r="CG12" s="108"/>
      <c r="CH12" s="108">
        <v>28</v>
      </c>
      <c r="CI12" s="129">
        <v>747</v>
      </c>
      <c r="CJ12" s="129">
        <v>467</v>
      </c>
      <c r="CK12" s="110" t="s">
        <v>19</v>
      </c>
    </row>
    <row r="13" spans="1:97" s="94" customFormat="1" ht="23.25" customHeight="1" x14ac:dyDescent="0.4">
      <c r="A13" s="104" t="s">
        <v>20</v>
      </c>
      <c r="B13" s="105"/>
      <c r="C13" s="106">
        <v>4058</v>
      </c>
      <c r="D13" s="107">
        <v>4551</v>
      </c>
      <c r="E13" s="108">
        <v>4565</v>
      </c>
      <c r="F13" s="108">
        <v>4936</v>
      </c>
      <c r="G13" s="108">
        <v>5533</v>
      </c>
      <c r="H13" s="108">
        <v>378</v>
      </c>
      <c r="I13" s="108">
        <v>1550</v>
      </c>
      <c r="J13" s="128">
        <v>3781</v>
      </c>
      <c r="K13" s="108">
        <v>2999</v>
      </c>
      <c r="L13" s="107">
        <v>2746</v>
      </c>
      <c r="M13" s="108">
        <v>2703</v>
      </c>
      <c r="N13" s="108">
        <v>2542</v>
      </c>
      <c r="O13" s="108">
        <v>2746</v>
      </c>
      <c r="P13" s="108">
        <v>341</v>
      </c>
      <c r="Q13" s="108">
        <v>1018</v>
      </c>
      <c r="R13" s="129">
        <v>3182</v>
      </c>
      <c r="S13" s="108">
        <v>1526</v>
      </c>
      <c r="T13" s="107">
        <f>1508+37</f>
        <v>1545</v>
      </c>
      <c r="U13" s="108">
        <f>1655+55</f>
        <v>1710</v>
      </c>
      <c r="V13" s="108">
        <f>1451+36</f>
        <v>1487</v>
      </c>
      <c r="W13" s="108">
        <f>1737+53</f>
        <v>1790</v>
      </c>
      <c r="X13" s="108">
        <v>292</v>
      </c>
      <c r="Y13" s="108">
        <v>576</v>
      </c>
      <c r="Z13" s="129">
        <v>1976</v>
      </c>
      <c r="AA13" s="108">
        <v>5493</v>
      </c>
      <c r="AB13" s="107">
        <v>5662</v>
      </c>
      <c r="AC13" s="108">
        <v>6926</v>
      </c>
      <c r="AD13" s="108">
        <v>7602</v>
      </c>
      <c r="AE13" s="108">
        <v>11321</v>
      </c>
      <c r="AF13" s="108">
        <v>35</v>
      </c>
      <c r="AG13" s="108">
        <v>2385</v>
      </c>
      <c r="AH13" s="129">
        <v>5957</v>
      </c>
      <c r="AI13" s="108">
        <v>2593</v>
      </c>
      <c r="AJ13" s="107">
        <v>1527</v>
      </c>
      <c r="AK13" s="108">
        <v>2160</v>
      </c>
      <c r="AL13" s="108">
        <v>2959</v>
      </c>
      <c r="AM13" s="108">
        <v>3122</v>
      </c>
      <c r="AN13" s="108">
        <v>484</v>
      </c>
      <c r="AO13" s="108">
        <v>1610</v>
      </c>
      <c r="AP13" s="129">
        <v>4085</v>
      </c>
      <c r="AQ13" s="108">
        <f>425+26</f>
        <v>451</v>
      </c>
      <c r="AR13" s="107">
        <f>472+20</f>
        <v>492</v>
      </c>
      <c r="AS13" s="108">
        <f>508+22</f>
        <v>530</v>
      </c>
      <c r="AT13" s="108">
        <f>458+21</f>
        <v>479</v>
      </c>
      <c r="AU13" s="108">
        <f>417+23</f>
        <v>440</v>
      </c>
      <c r="AV13" s="108">
        <v>175</v>
      </c>
      <c r="AW13" s="108">
        <v>102</v>
      </c>
      <c r="AX13" s="129">
        <v>380</v>
      </c>
      <c r="AY13" s="108">
        <v>867</v>
      </c>
      <c r="AZ13" s="107">
        <v>1957</v>
      </c>
      <c r="BA13" s="108">
        <v>2946</v>
      </c>
      <c r="BB13" s="108">
        <v>3117</v>
      </c>
      <c r="BC13" s="108">
        <v>3738</v>
      </c>
      <c r="BD13" s="108">
        <v>131</v>
      </c>
      <c r="BE13" s="108">
        <v>244</v>
      </c>
      <c r="BF13" s="129">
        <v>906</v>
      </c>
      <c r="BG13" s="108" t="s">
        <v>54</v>
      </c>
      <c r="BH13" s="108" t="s">
        <v>54</v>
      </c>
      <c r="BI13" s="108" t="s">
        <v>54</v>
      </c>
      <c r="BJ13" s="108">
        <v>1378</v>
      </c>
      <c r="BK13" s="108">
        <f>3736+79</f>
        <v>3815</v>
      </c>
      <c r="BL13" s="108">
        <v>0</v>
      </c>
      <c r="BM13" s="108">
        <v>2113</v>
      </c>
      <c r="BN13" s="129">
        <v>4223</v>
      </c>
      <c r="BO13" s="108" t="s">
        <v>54</v>
      </c>
      <c r="BP13" s="108" t="s">
        <v>54</v>
      </c>
      <c r="BQ13" s="108" t="s">
        <v>54</v>
      </c>
      <c r="BR13" s="108">
        <v>8348</v>
      </c>
      <c r="BS13" s="108">
        <v>10158</v>
      </c>
      <c r="BT13" s="108">
        <v>0</v>
      </c>
      <c r="BU13" s="108">
        <v>3499</v>
      </c>
      <c r="BV13" s="129">
        <v>5839</v>
      </c>
      <c r="BW13" s="108" t="s">
        <v>54</v>
      </c>
      <c r="BX13" s="108">
        <v>413</v>
      </c>
      <c r="BY13" s="129">
        <v>734</v>
      </c>
      <c r="BZ13" s="108">
        <v>10</v>
      </c>
      <c r="CA13" s="108">
        <v>75</v>
      </c>
      <c r="CB13" s="129">
        <v>513</v>
      </c>
      <c r="CC13" s="108" t="s">
        <v>54</v>
      </c>
      <c r="CD13" s="108">
        <v>78</v>
      </c>
      <c r="CE13" s="108">
        <v>567</v>
      </c>
      <c r="CF13" s="129">
        <v>1326</v>
      </c>
      <c r="CG13" s="108"/>
      <c r="CH13" s="108">
        <v>272</v>
      </c>
      <c r="CI13" s="129">
        <v>817</v>
      </c>
      <c r="CJ13" s="129">
        <v>557</v>
      </c>
      <c r="CK13" s="110" t="s">
        <v>21</v>
      </c>
    </row>
    <row r="14" spans="1:97" s="94" customFormat="1" ht="23.25" customHeight="1" x14ac:dyDescent="0.4">
      <c r="A14" s="104" t="s">
        <v>22</v>
      </c>
      <c r="B14" s="105"/>
      <c r="C14" s="106">
        <v>4227</v>
      </c>
      <c r="D14" s="107">
        <v>6262</v>
      </c>
      <c r="E14" s="108">
        <v>5803</v>
      </c>
      <c r="F14" s="108">
        <v>5691</v>
      </c>
      <c r="G14" s="108">
        <v>5619</v>
      </c>
      <c r="H14" s="108">
        <v>544</v>
      </c>
      <c r="I14" s="108">
        <v>2840</v>
      </c>
      <c r="J14" s="128">
        <v>5570</v>
      </c>
      <c r="K14" s="108">
        <v>2532</v>
      </c>
      <c r="L14" s="107">
        <v>2958</v>
      </c>
      <c r="M14" s="108">
        <v>2968</v>
      </c>
      <c r="N14" s="108">
        <v>2686</v>
      </c>
      <c r="O14" s="108">
        <v>2686</v>
      </c>
      <c r="P14" s="108">
        <v>431</v>
      </c>
      <c r="Q14" s="108">
        <v>2552</v>
      </c>
      <c r="R14" s="129">
        <v>4728</v>
      </c>
      <c r="S14" s="108">
        <f>1209+39</f>
        <v>1248</v>
      </c>
      <c r="T14" s="107">
        <f>1891+35</f>
        <v>1926</v>
      </c>
      <c r="U14" s="108">
        <f>1597+47</f>
        <v>1644</v>
      </c>
      <c r="V14" s="108">
        <f>1488+44</f>
        <v>1532</v>
      </c>
      <c r="W14" s="108">
        <f>1469+36</f>
        <v>1505</v>
      </c>
      <c r="X14" s="108">
        <v>386</v>
      </c>
      <c r="Y14" s="108">
        <v>1592</v>
      </c>
      <c r="Z14" s="129">
        <v>2886</v>
      </c>
      <c r="AA14" s="108">
        <v>6447</v>
      </c>
      <c r="AB14" s="107">
        <v>8182</v>
      </c>
      <c r="AC14" s="108">
        <v>8792</v>
      </c>
      <c r="AD14" s="108">
        <v>10163</v>
      </c>
      <c r="AE14" s="108">
        <v>11562</v>
      </c>
      <c r="AF14" s="108">
        <v>188</v>
      </c>
      <c r="AG14" s="108">
        <v>5539</v>
      </c>
      <c r="AH14" s="129">
        <v>8850</v>
      </c>
      <c r="AI14" s="108">
        <v>2364</v>
      </c>
      <c r="AJ14" s="107">
        <v>1922</v>
      </c>
      <c r="AK14" s="108">
        <v>1929</v>
      </c>
      <c r="AL14" s="108">
        <v>3142</v>
      </c>
      <c r="AM14" s="108">
        <v>3265</v>
      </c>
      <c r="AN14" s="108">
        <v>265</v>
      </c>
      <c r="AO14" s="108">
        <v>3487</v>
      </c>
      <c r="AP14" s="129">
        <v>5286</v>
      </c>
      <c r="AQ14" s="108">
        <v>310</v>
      </c>
      <c r="AR14" s="107">
        <f>590+22</f>
        <v>612</v>
      </c>
      <c r="AS14" s="108">
        <f>456+12</f>
        <v>468</v>
      </c>
      <c r="AT14" s="108">
        <v>424</v>
      </c>
      <c r="AU14" s="108">
        <f>380+11</f>
        <v>391</v>
      </c>
      <c r="AV14" s="108">
        <v>62</v>
      </c>
      <c r="AW14" s="108">
        <v>250</v>
      </c>
      <c r="AX14" s="129">
        <v>654</v>
      </c>
      <c r="AY14" s="108">
        <v>775</v>
      </c>
      <c r="AZ14" s="107">
        <v>2667</v>
      </c>
      <c r="BA14" s="108">
        <v>3005</v>
      </c>
      <c r="BB14" s="108">
        <v>3549</v>
      </c>
      <c r="BC14" s="108">
        <v>4090</v>
      </c>
      <c r="BD14" s="108">
        <v>98</v>
      </c>
      <c r="BE14" s="108">
        <v>826</v>
      </c>
      <c r="BF14" s="129">
        <v>1719</v>
      </c>
      <c r="BG14" s="108" t="s">
        <v>54</v>
      </c>
      <c r="BH14" s="108" t="s">
        <v>54</v>
      </c>
      <c r="BI14" s="108" t="s">
        <v>54</v>
      </c>
      <c r="BJ14" s="108">
        <v>1596</v>
      </c>
      <c r="BK14" s="108">
        <f>81+4561</f>
        <v>4642</v>
      </c>
      <c r="BL14" s="108">
        <v>2</v>
      </c>
      <c r="BM14" s="108">
        <v>4376</v>
      </c>
      <c r="BN14" s="129">
        <v>6205</v>
      </c>
      <c r="BO14" s="108" t="s">
        <v>54</v>
      </c>
      <c r="BP14" s="108" t="s">
        <v>54</v>
      </c>
      <c r="BQ14" s="108" t="s">
        <v>54</v>
      </c>
      <c r="BR14" s="108">
        <v>9471</v>
      </c>
      <c r="BS14" s="108">
        <v>8655</v>
      </c>
      <c r="BT14" s="108">
        <v>0</v>
      </c>
      <c r="BU14" s="108">
        <v>4716</v>
      </c>
      <c r="BV14" s="129">
        <v>6112</v>
      </c>
      <c r="BW14" s="108">
        <v>120</v>
      </c>
      <c r="BX14" s="108">
        <v>1305</v>
      </c>
      <c r="BY14" s="129">
        <v>972</v>
      </c>
      <c r="BZ14" s="108">
        <v>101</v>
      </c>
      <c r="CA14" s="108">
        <v>389</v>
      </c>
      <c r="CB14" s="129">
        <v>514</v>
      </c>
      <c r="CC14" s="108" t="s">
        <v>54</v>
      </c>
      <c r="CD14" s="108">
        <v>353</v>
      </c>
      <c r="CE14" s="108">
        <v>1064</v>
      </c>
      <c r="CF14" s="129">
        <v>1781</v>
      </c>
      <c r="CG14" s="108"/>
      <c r="CH14" s="108">
        <v>682</v>
      </c>
      <c r="CI14" s="129">
        <v>1321</v>
      </c>
      <c r="CJ14" s="129">
        <v>972</v>
      </c>
      <c r="CK14" s="110" t="s">
        <v>23</v>
      </c>
      <c r="CP14" s="64"/>
      <c r="CQ14" s="64"/>
      <c r="CR14" s="64"/>
      <c r="CS14" s="64"/>
    </row>
    <row r="15" spans="1:97" s="94" customFormat="1" ht="23.25" customHeight="1" x14ac:dyDescent="0.4">
      <c r="A15" s="104" t="s">
        <v>24</v>
      </c>
      <c r="B15" s="105"/>
      <c r="C15" s="106">
        <v>4782</v>
      </c>
      <c r="D15" s="107">
        <v>6307</v>
      </c>
      <c r="E15" s="108">
        <v>6212</v>
      </c>
      <c r="F15" s="108">
        <v>6854</v>
      </c>
      <c r="G15" s="108">
        <v>7110</v>
      </c>
      <c r="H15" s="108">
        <v>522</v>
      </c>
      <c r="I15" s="108">
        <v>3202</v>
      </c>
      <c r="J15" s="128">
        <v>4483</v>
      </c>
      <c r="K15" s="108">
        <v>2768</v>
      </c>
      <c r="L15" s="107">
        <v>2989</v>
      </c>
      <c r="M15" s="108">
        <v>3906</v>
      </c>
      <c r="N15" s="108">
        <v>3655</v>
      </c>
      <c r="O15" s="108">
        <v>4287</v>
      </c>
      <c r="P15" s="108">
        <v>491</v>
      </c>
      <c r="Q15" s="108">
        <v>2215</v>
      </c>
      <c r="R15" s="129">
        <v>3756</v>
      </c>
      <c r="S15" s="108">
        <f>1335+49</f>
        <v>1384</v>
      </c>
      <c r="T15" s="107">
        <f>1359+50</f>
        <v>1409</v>
      </c>
      <c r="U15" s="108">
        <f>1441+49</f>
        <v>1490</v>
      </c>
      <c r="V15" s="108">
        <f>1934+60</f>
        <v>1994</v>
      </c>
      <c r="W15" s="108">
        <f>2119+48</f>
        <v>2167</v>
      </c>
      <c r="X15" s="108">
        <v>310</v>
      </c>
      <c r="Y15" s="108">
        <v>1871</v>
      </c>
      <c r="Z15" s="129">
        <v>2214</v>
      </c>
      <c r="AA15" s="108">
        <v>6717</v>
      </c>
      <c r="AB15" s="107">
        <v>7857</v>
      </c>
      <c r="AC15" s="108">
        <v>10004</v>
      </c>
      <c r="AD15" s="108">
        <v>11861</v>
      </c>
      <c r="AE15" s="108">
        <v>13498</v>
      </c>
      <c r="AF15" s="108">
        <v>84</v>
      </c>
      <c r="AG15" s="108">
        <v>5620</v>
      </c>
      <c r="AH15" s="129">
        <v>7348</v>
      </c>
      <c r="AI15" s="108">
        <v>2698</v>
      </c>
      <c r="AJ15" s="107">
        <v>1611</v>
      </c>
      <c r="AK15" s="108">
        <v>2743</v>
      </c>
      <c r="AL15" s="108">
        <v>3622</v>
      </c>
      <c r="AM15" s="108">
        <v>4152</v>
      </c>
      <c r="AN15" s="108">
        <v>447</v>
      </c>
      <c r="AO15" s="108">
        <v>3572</v>
      </c>
      <c r="AP15" s="129">
        <v>4408</v>
      </c>
      <c r="AQ15" s="108">
        <f>356+15</f>
        <v>371</v>
      </c>
      <c r="AR15" s="107">
        <f>394+18</f>
        <v>412</v>
      </c>
      <c r="AS15" s="108">
        <f>711+33</f>
        <v>744</v>
      </c>
      <c r="AT15" s="108">
        <v>673</v>
      </c>
      <c r="AU15" s="108">
        <f>646+24</f>
        <v>670</v>
      </c>
      <c r="AV15" s="108">
        <v>32</v>
      </c>
      <c r="AW15" s="108">
        <v>194</v>
      </c>
      <c r="AX15" s="129">
        <v>399</v>
      </c>
      <c r="AY15" s="108">
        <v>847</v>
      </c>
      <c r="AZ15" s="107">
        <v>2862</v>
      </c>
      <c r="BA15" s="108">
        <v>3532</v>
      </c>
      <c r="BB15" s="108">
        <v>3564</v>
      </c>
      <c r="BC15" s="108">
        <v>3870</v>
      </c>
      <c r="BD15" s="108">
        <v>49</v>
      </c>
      <c r="BE15" s="108">
        <v>516</v>
      </c>
      <c r="BF15" s="129">
        <v>1077</v>
      </c>
      <c r="BG15" s="108" t="s">
        <v>54</v>
      </c>
      <c r="BH15" s="108" t="s">
        <v>54</v>
      </c>
      <c r="BI15" s="108" t="s">
        <v>54</v>
      </c>
      <c r="BJ15" s="108">
        <v>2111</v>
      </c>
      <c r="BK15" s="108">
        <f>141+5239</f>
        <v>5380</v>
      </c>
      <c r="BL15" s="108">
        <v>3</v>
      </c>
      <c r="BM15" s="108">
        <v>3826</v>
      </c>
      <c r="BN15" s="129">
        <v>4750</v>
      </c>
      <c r="BO15" s="108" t="s">
        <v>54</v>
      </c>
      <c r="BP15" s="108" t="s">
        <v>54</v>
      </c>
      <c r="BQ15" s="108" t="s">
        <v>54</v>
      </c>
      <c r="BR15" s="108">
        <v>9992</v>
      </c>
      <c r="BS15" s="108">
        <v>9832</v>
      </c>
      <c r="BT15" s="108">
        <v>0</v>
      </c>
      <c r="BU15" s="108">
        <v>4966</v>
      </c>
      <c r="BV15" s="129">
        <v>5359</v>
      </c>
      <c r="BW15" s="108">
        <v>92</v>
      </c>
      <c r="BX15" s="108">
        <v>1101</v>
      </c>
      <c r="BY15" s="129">
        <v>619</v>
      </c>
      <c r="BZ15" s="108">
        <v>70</v>
      </c>
      <c r="CA15" s="108">
        <v>278</v>
      </c>
      <c r="CB15" s="129">
        <v>663</v>
      </c>
      <c r="CC15" s="108">
        <v>342</v>
      </c>
      <c r="CD15" s="108">
        <v>313</v>
      </c>
      <c r="CE15" s="108">
        <v>880</v>
      </c>
      <c r="CF15" s="129">
        <v>1378</v>
      </c>
      <c r="CG15" s="108"/>
      <c r="CH15" s="108">
        <v>531</v>
      </c>
      <c r="CI15" s="129">
        <v>821</v>
      </c>
      <c r="CJ15" s="129">
        <v>962</v>
      </c>
      <c r="CK15" s="110" t="s">
        <v>25</v>
      </c>
    </row>
    <row r="16" spans="1:97" s="94" customFormat="1" ht="23.25" customHeight="1" x14ac:dyDescent="0.4">
      <c r="A16" s="104" t="s">
        <v>26</v>
      </c>
      <c r="B16" s="105"/>
      <c r="C16" s="106">
        <f>4724+83</f>
        <v>4807</v>
      </c>
      <c r="D16" s="107">
        <v>6877</v>
      </c>
      <c r="E16" s="108">
        <v>5703</v>
      </c>
      <c r="F16" s="108">
        <v>6357</v>
      </c>
      <c r="G16" s="108">
        <v>5410</v>
      </c>
      <c r="H16" s="108">
        <v>344</v>
      </c>
      <c r="I16" s="108">
        <v>3034</v>
      </c>
      <c r="J16" s="128">
        <v>3621</v>
      </c>
      <c r="K16" s="108">
        <v>3348</v>
      </c>
      <c r="L16" s="107">
        <v>3890</v>
      </c>
      <c r="M16" s="108">
        <v>2654</v>
      </c>
      <c r="N16" s="108">
        <v>3233</v>
      </c>
      <c r="O16" s="108">
        <v>3410</v>
      </c>
      <c r="P16" s="108">
        <v>491</v>
      </c>
      <c r="Q16" s="108">
        <v>1999</v>
      </c>
      <c r="R16" s="129">
        <v>3445</v>
      </c>
      <c r="S16" s="108">
        <f>1697+52</f>
        <v>1749</v>
      </c>
      <c r="T16" s="107">
        <f>1885+60</f>
        <v>1945</v>
      </c>
      <c r="U16" s="108">
        <f>1697+46</f>
        <v>1743</v>
      </c>
      <c r="V16" s="108">
        <f>1926+41</f>
        <v>1967</v>
      </c>
      <c r="W16" s="108">
        <f>1835+50</f>
        <v>1885</v>
      </c>
      <c r="X16" s="108">
        <v>318</v>
      </c>
      <c r="Y16" s="108">
        <v>1221</v>
      </c>
      <c r="Z16" s="129">
        <v>1644</v>
      </c>
      <c r="AA16" s="108">
        <v>8015</v>
      </c>
      <c r="AB16" s="107">
        <v>8098</v>
      </c>
      <c r="AC16" s="108">
        <v>8804</v>
      </c>
      <c r="AD16" s="108">
        <v>9462</v>
      </c>
      <c r="AE16" s="108">
        <v>10706</v>
      </c>
      <c r="AF16" s="108">
        <v>114</v>
      </c>
      <c r="AG16" s="108">
        <v>5017</v>
      </c>
      <c r="AH16" s="129">
        <v>6676</v>
      </c>
      <c r="AI16" s="108">
        <v>3076</v>
      </c>
      <c r="AJ16" s="107">
        <v>2050</v>
      </c>
      <c r="AK16" s="108">
        <v>2791</v>
      </c>
      <c r="AL16" s="108">
        <v>3312</v>
      </c>
      <c r="AM16" s="108">
        <v>3661</v>
      </c>
      <c r="AN16" s="108">
        <v>480</v>
      </c>
      <c r="AO16" s="108">
        <v>3485</v>
      </c>
      <c r="AP16" s="129">
        <v>4028</v>
      </c>
      <c r="AQ16" s="108">
        <v>661</v>
      </c>
      <c r="AR16" s="107">
        <f>717+30</f>
        <v>747</v>
      </c>
      <c r="AS16" s="108">
        <f>494+11</f>
        <v>505</v>
      </c>
      <c r="AT16" s="108">
        <v>479</v>
      </c>
      <c r="AU16" s="108">
        <f>323+12</f>
        <v>335</v>
      </c>
      <c r="AV16" s="108">
        <v>60</v>
      </c>
      <c r="AW16" s="108">
        <v>228</v>
      </c>
      <c r="AX16" s="129">
        <v>301</v>
      </c>
      <c r="AY16" s="108">
        <v>1326</v>
      </c>
      <c r="AZ16" s="107">
        <v>2562</v>
      </c>
      <c r="BA16" s="108">
        <v>2994</v>
      </c>
      <c r="BB16" s="108">
        <v>2581</v>
      </c>
      <c r="BC16" s="108">
        <v>3549</v>
      </c>
      <c r="BD16" s="108">
        <v>92</v>
      </c>
      <c r="BE16" s="108">
        <v>558</v>
      </c>
      <c r="BF16" s="129">
        <v>841</v>
      </c>
      <c r="BG16" s="108" t="s">
        <v>54</v>
      </c>
      <c r="BH16" s="108" t="s">
        <v>54</v>
      </c>
      <c r="BI16" s="108" t="s">
        <v>54</v>
      </c>
      <c r="BJ16" s="108">
        <v>1701</v>
      </c>
      <c r="BK16" s="108">
        <f>4903+33</f>
        <v>4936</v>
      </c>
      <c r="BL16" s="108">
        <v>54</v>
      </c>
      <c r="BM16" s="108">
        <v>3187</v>
      </c>
      <c r="BN16" s="129">
        <v>3860</v>
      </c>
      <c r="BO16" s="108" t="s">
        <v>54</v>
      </c>
      <c r="BP16" s="108" t="s">
        <v>54</v>
      </c>
      <c r="BQ16" s="108" t="s">
        <v>54</v>
      </c>
      <c r="BR16" s="108">
        <v>8648</v>
      </c>
      <c r="BS16" s="108">
        <v>9813</v>
      </c>
      <c r="BT16" s="108">
        <v>0</v>
      </c>
      <c r="BU16" s="108">
        <v>4439</v>
      </c>
      <c r="BV16" s="129">
        <v>6996</v>
      </c>
      <c r="BW16" s="108">
        <v>128</v>
      </c>
      <c r="BX16" s="108">
        <v>869</v>
      </c>
      <c r="BY16" s="129">
        <v>524</v>
      </c>
      <c r="BZ16" s="108">
        <v>80</v>
      </c>
      <c r="CA16" s="108">
        <v>320</v>
      </c>
      <c r="CB16" s="129">
        <v>428</v>
      </c>
      <c r="CC16" s="108">
        <v>583</v>
      </c>
      <c r="CD16" s="108">
        <v>290</v>
      </c>
      <c r="CE16" s="108">
        <v>935</v>
      </c>
      <c r="CF16" s="129">
        <v>1187</v>
      </c>
      <c r="CG16" s="108"/>
      <c r="CH16" s="108">
        <v>466</v>
      </c>
      <c r="CI16" s="129">
        <v>823</v>
      </c>
      <c r="CJ16" s="129">
        <v>939</v>
      </c>
      <c r="CK16" s="110" t="s">
        <v>27</v>
      </c>
    </row>
    <row r="17" spans="1:97" s="94" customFormat="1" ht="23.25" customHeight="1" x14ac:dyDescent="0.4">
      <c r="A17" s="104" t="s">
        <v>28</v>
      </c>
      <c r="B17" s="105"/>
      <c r="C17" s="106">
        <f>4909+56</f>
        <v>4965</v>
      </c>
      <c r="D17" s="107">
        <v>7031</v>
      </c>
      <c r="E17" s="108">
        <v>6438</v>
      </c>
      <c r="F17" s="108">
        <v>5852</v>
      </c>
      <c r="G17" s="108">
        <v>5317</v>
      </c>
      <c r="H17" s="108">
        <v>567</v>
      </c>
      <c r="I17" s="108">
        <v>3842</v>
      </c>
      <c r="J17" s="128">
        <v>4384</v>
      </c>
      <c r="K17" s="108">
        <v>2389</v>
      </c>
      <c r="L17" s="107">
        <v>2154</v>
      </c>
      <c r="M17" s="108">
        <v>2375</v>
      </c>
      <c r="N17" s="108">
        <v>2012</v>
      </c>
      <c r="O17" s="108">
        <v>2681</v>
      </c>
      <c r="P17" s="108">
        <v>755</v>
      </c>
      <c r="Q17" s="108">
        <v>2739</v>
      </c>
      <c r="R17" s="129">
        <v>3557</v>
      </c>
      <c r="S17" s="108">
        <f>1129+37</f>
        <v>1166</v>
      </c>
      <c r="T17" s="107">
        <f>1443+37</f>
        <v>1480</v>
      </c>
      <c r="U17" s="108">
        <f>1239+39</f>
        <v>1278</v>
      </c>
      <c r="V17" s="108">
        <f>1114+40</f>
        <v>1154</v>
      </c>
      <c r="W17" s="108">
        <f>1304+19</f>
        <v>1323</v>
      </c>
      <c r="X17" s="108">
        <v>273</v>
      </c>
      <c r="Y17" s="108">
        <v>1816</v>
      </c>
      <c r="Z17" s="129">
        <v>2195</v>
      </c>
      <c r="AA17" s="108">
        <v>6265</v>
      </c>
      <c r="AB17" s="107">
        <v>6729</v>
      </c>
      <c r="AC17" s="108">
        <v>9506</v>
      </c>
      <c r="AD17" s="108">
        <v>10457</v>
      </c>
      <c r="AE17" s="108">
        <v>11464</v>
      </c>
      <c r="AF17" s="108">
        <v>77</v>
      </c>
      <c r="AG17" s="108">
        <v>6754</v>
      </c>
      <c r="AH17" s="129">
        <v>7760</v>
      </c>
      <c r="AI17" s="108">
        <v>2706</v>
      </c>
      <c r="AJ17" s="107">
        <v>1778</v>
      </c>
      <c r="AK17" s="108">
        <v>3034</v>
      </c>
      <c r="AL17" s="108">
        <v>3190</v>
      </c>
      <c r="AM17" s="108">
        <v>3934</v>
      </c>
      <c r="AN17" s="108">
        <v>977</v>
      </c>
      <c r="AO17" s="108">
        <v>4320</v>
      </c>
      <c r="AP17" s="129">
        <v>5234</v>
      </c>
      <c r="AQ17" s="108">
        <f>312+13</f>
        <v>325</v>
      </c>
      <c r="AR17" s="107">
        <f>348+17</f>
        <v>365</v>
      </c>
      <c r="AS17" s="108">
        <f>711+33</f>
        <v>744</v>
      </c>
      <c r="AT17" s="108">
        <f>298+11</f>
        <v>309</v>
      </c>
      <c r="AU17" s="108">
        <f>392+8</f>
        <v>400</v>
      </c>
      <c r="AV17" s="108">
        <v>100</v>
      </c>
      <c r="AW17" s="108">
        <v>406</v>
      </c>
      <c r="AX17" s="129">
        <v>331</v>
      </c>
      <c r="AY17" s="108">
        <v>1687</v>
      </c>
      <c r="AZ17" s="107">
        <v>2598</v>
      </c>
      <c r="BA17" s="108">
        <v>3392</v>
      </c>
      <c r="BB17" s="108">
        <v>3557</v>
      </c>
      <c r="BC17" s="108">
        <v>4027</v>
      </c>
      <c r="BD17" s="108">
        <v>205</v>
      </c>
      <c r="BE17" s="108">
        <v>518</v>
      </c>
      <c r="BF17" s="129">
        <v>972</v>
      </c>
      <c r="BG17" s="108" t="s">
        <v>54</v>
      </c>
      <c r="BH17" s="108" t="s">
        <v>54</v>
      </c>
      <c r="BI17" s="108">
        <v>1833</v>
      </c>
      <c r="BJ17" s="108">
        <v>2025</v>
      </c>
      <c r="BK17" s="108">
        <f>54+5857</f>
        <v>5911</v>
      </c>
      <c r="BL17" s="108">
        <v>147</v>
      </c>
      <c r="BM17" s="108">
        <v>5702</v>
      </c>
      <c r="BN17" s="129">
        <v>5508</v>
      </c>
      <c r="BO17" s="108" t="s">
        <v>54</v>
      </c>
      <c r="BP17" s="108" t="s">
        <v>54</v>
      </c>
      <c r="BQ17" s="108" t="s">
        <v>54</v>
      </c>
      <c r="BR17" s="108">
        <v>9301</v>
      </c>
      <c r="BS17" s="108">
        <v>8450</v>
      </c>
      <c r="BT17" s="108">
        <v>1290</v>
      </c>
      <c r="BU17" s="108">
        <v>5544</v>
      </c>
      <c r="BV17" s="129">
        <v>5875</v>
      </c>
      <c r="BW17" s="108">
        <v>196</v>
      </c>
      <c r="BX17" s="108">
        <v>947</v>
      </c>
      <c r="BY17" s="129">
        <v>674</v>
      </c>
      <c r="BZ17" s="108">
        <v>15</v>
      </c>
      <c r="CA17" s="108">
        <v>427</v>
      </c>
      <c r="CB17" s="129">
        <v>538</v>
      </c>
      <c r="CC17" s="108">
        <v>693</v>
      </c>
      <c r="CD17" s="108">
        <v>7</v>
      </c>
      <c r="CE17" s="108">
        <v>1280</v>
      </c>
      <c r="CF17" s="129">
        <v>1882</v>
      </c>
      <c r="CG17" s="108"/>
      <c r="CH17" s="108">
        <v>611</v>
      </c>
      <c r="CI17" s="129">
        <v>1212</v>
      </c>
      <c r="CJ17" s="129">
        <v>1032</v>
      </c>
      <c r="CK17" s="110" t="s">
        <v>29</v>
      </c>
      <c r="CP17" s="64"/>
      <c r="CQ17" s="64"/>
      <c r="CR17" s="64"/>
      <c r="CS17" s="64"/>
    </row>
    <row r="18" spans="1:97" s="94" customFormat="1" ht="23.25" customHeight="1" x14ac:dyDescent="0.4">
      <c r="A18" s="104" t="s">
        <v>30</v>
      </c>
      <c r="B18" s="105"/>
      <c r="C18" s="106">
        <f>4202+90</f>
        <v>4292</v>
      </c>
      <c r="D18" s="107">
        <v>6549</v>
      </c>
      <c r="E18" s="108">
        <v>6416</v>
      </c>
      <c r="F18" s="108">
        <v>6186</v>
      </c>
      <c r="G18" s="108">
        <v>5832</v>
      </c>
      <c r="H18" s="108">
        <v>1144</v>
      </c>
      <c r="I18" s="108">
        <v>3396</v>
      </c>
      <c r="J18" s="128">
        <v>3374</v>
      </c>
      <c r="K18" s="108">
        <v>2942</v>
      </c>
      <c r="L18" s="107">
        <v>3619</v>
      </c>
      <c r="M18" s="108">
        <v>3362</v>
      </c>
      <c r="N18" s="108">
        <v>2958</v>
      </c>
      <c r="O18" s="108">
        <v>3467</v>
      </c>
      <c r="P18" s="108">
        <v>1133</v>
      </c>
      <c r="Q18" s="108">
        <v>2922</v>
      </c>
      <c r="R18" s="129">
        <v>3158</v>
      </c>
      <c r="S18" s="108">
        <f>1417+43</f>
        <v>1460</v>
      </c>
      <c r="T18" s="107">
        <f>1651+47</f>
        <v>1698</v>
      </c>
      <c r="U18" s="108">
        <f>1555+44</f>
        <v>1599</v>
      </c>
      <c r="V18" s="108">
        <f>1632+45</f>
        <v>1677</v>
      </c>
      <c r="W18" s="108">
        <f>1550+39</f>
        <v>1589</v>
      </c>
      <c r="X18" s="108">
        <v>655</v>
      </c>
      <c r="Y18" s="108">
        <v>1525</v>
      </c>
      <c r="Z18" s="129">
        <v>1736</v>
      </c>
      <c r="AA18" s="108">
        <v>5596</v>
      </c>
      <c r="AB18" s="107">
        <v>7522</v>
      </c>
      <c r="AC18" s="108">
        <v>9080</v>
      </c>
      <c r="AD18" s="108">
        <v>9231</v>
      </c>
      <c r="AE18" s="108">
        <v>10451</v>
      </c>
      <c r="AF18" s="108">
        <v>702</v>
      </c>
      <c r="AG18" s="108">
        <v>7008</v>
      </c>
      <c r="AH18" s="129">
        <v>6242</v>
      </c>
      <c r="AI18" s="108">
        <v>2585</v>
      </c>
      <c r="AJ18" s="107">
        <v>1937</v>
      </c>
      <c r="AK18" s="108">
        <v>3114</v>
      </c>
      <c r="AL18" s="108">
        <v>3183</v>
      </c>
      <c r="AM18" s="108">
        <v>4146</v>
      </c>
      <c r="AN18" s="108">
        <v>1044</v>
      </c>
      <c r="AO18" s="108">
        <v>4694</v>
      </c>
      <c r="AP18" s="129">
        <v>4447</v>
      </c>
      <c r="AQ18" s="108">
        <f>364+15</f>
        <v>379</v>
      </c>
      <c r="AR18" s="107">
        <f>556+20</f>
        <v>576</v>
      </c>
      <c r="AS18" s="108">
        <f>711+33</f>
        <v>744</v>
      </c>
      <c r="AT18" s="108">
        <v>411</v>
      </c>
      <c r="AU18" s="108">
        <f>398+13</f>
        <v>411</v>
      </c>
      <c r="AV18" s="108">
        <v>94</v>
      </c>
      <c r="AW18" s="108">
        <v>246</v>
      </c>
      <c r="AX18" s="129">
        <v>507</v>
      </c>
      <c r="AY18" s="108">
        <v>1906</v>
      </c>
      <c r="AZ18" s="107">
        <v>2409</v>
      </c>
      <c r="BA18" s="108">
        <v>3257</v>
      </c>
      <c r="BB18" s="108">
        <v>3304</v>
      </c>
      <c r="BC18" s="108">
        <v>3675</v>
      </c>
      <c r="BD18" s="108">
        <v>154</v>
      </c>
      <c r="BE18" s="108">
        <v>662</v>
      </c>
      <c r="BF18" s="129">
        <v>615</v>
      </c>
      <c r="BG18" s="108" t="s">
        <v>54</v>
      </c>
      <c r="BH18" s="108" t="s">
        <v>54</v>
      </c>
      <c r="BI18" s="108">
        <v>2540</v>
      </c>
      <c r="BJ18" s="108">
        <v>2124</v>
      </c>
      <c r="BK18" s="108">
        <f>6839+14</f>
        <v>6853</v>
      </c>
      <c r="BL18" s="108">
        <v>464</v>
      </c>
      <c r="BM18" s="108">
        <v>5958</v>
      </c>
      <c r="BN18" s="129">
        <v>5337</v>
      </c>
      <c r="BO18" s="108" t="s">
        <v>54</v>
      </c>
      <c r="BP18" s="108" t="s">
        <v>54</v>
      </c>
      <c r="BQ18" s="108" t="s">
        <v>54</v>
      </c>
      <c r="BR18" s="108">
        <v>8976</v>
      </c>
      <c r="BS18" s="108">
        <v>8262</v>
      </c>
      <c r="BT18" s="108">
        <v>1653</v>
      </c>
      <c r="BU18" s="108">
        <v>5751</v>
      </c>
      <c r="BV18" s="129">
        <v>5233</v>
      </c>
      <c r="BW18" s="108">
        <v>344</v>
      </c>
      <c r="BX18" s="108">
        <v>911</v>
      </c>
      <c r="BY18" s="129">
        <v>613</v>
      </c>
      <c r="BZ18" s="108">
        <v>103</v>
      </c>
      <c r="CA18" s="108">
        <v>266</v>
      </c>
      <c r="CB18" s="129">
        <v>406</v>
      </c>
      <c r="CC18" s="108">
        <v>1380</v>
      </c>
      <c r="CD18" s="108">
        <v>491</v>
      </c>
      <c r="CE18" s="108">
        <v>1061</v>
      </c>
      <c r="CF18" s="129">
        <v>1308</v>
      </c>
      <c r="CG18" s="108">
        <v>171</v>
      </c>
      <c r="CH18" s="108">
        <v>548</v>
      </c>
      <c r="CI18" s="129">
        <v>1092</v>
      </c>
      <c r="CJ18" s="129">
        <v>1088</v>
      </c>
      <c r="CK18" s="110" t="s">
        <v>31</v>
      </c>
    </row>
    <row r="19" spans="1:97" s="94" customFormat="1" ht="23.25" customHeight="1" x14ac:dyDescent="0.4">
      <c r="A19" s="111" t="s">
        <v>32</v>
      </c>
      <c r="B19" s="112"/>
      <c r="C19" s="113">
        <f>5444+138</f>
        <v>5582</v>
      </c>
      <c r="D19" s="114">
        <v>7718</v>
      </c>
      <c r="E19" s="115">
        <v>8105</v>
      </c>
      <c r="F19" s="115">
        <v>7762</v>
      </c>
      <c r="G19" s="115">
        <v>7760</v>
      </c>
      <c r="H19" s="115">
        <v>2698</v>
      </c>
      <c r="I19" s="115">
        <v>4433</v>
      </c>
      <c r="J19" s="130">
        <v>4487</v>
      </c>
      <c r="K19" s="115">
        <v>4311</v>
      </c>
      <c r="L19" s="114">
        <v>4476</v>
      </c>
      <c r="M19" s="115">
        <v>4480</v>
      </c>
      <c r="N19" s="115">
        <v>4079</v>
      </c>
      <c r="O19" s="115">
        <v>5307</v>
      </c>
      <c r="P19" s="115">
        <v>2539</v>
      </c>
      <c r="Q19" s="115">
        <v>3797</v>
      </c>
      <c r="R19" s="131">
        <v>3860</v>
      </c>
      <c r="S19" s="115">
        <f>2347+75</f>
        <v>2422</v>
      </c>
      <c r="T19" s="114">
        <f>2398+82</f>
        <v>2480</v>
      </c>
      <c r="U19" s="115">
        <f>1994+56</f>
        <v>2050</v>
      </c>
      <c r="V19" s="115">
        <f>2645+81</f>
        <v>2726</v>
      </c>
      <c r="W19" s="115">
        <f>2428+94</f>
        <v>2522</v>
      </c>
      <c r="X19" s="115">
        <v>1244</v>
      </c>
      <c r="Y19" s="115">
        <v>1781</v>
      </c>
      <c r="Z19" s="131">
        <v>1962</v>
      </c>
      <c r="AA19" s="115">
        <v>7281</v>
      </c>
      <c r="AB19" s="114">
        <v>8617</v>
      </c>
      <c r="AC19" s="115">
        <v>11011</v>
      </c>
      <c r="AD19" s="115">
        <v>10472</v>
      </c>
      <c r="AE19" s="115">
        <v>14363</v>
      </c>
      <c r="AF19" s="115">
        <v>2963</v>
      </c>
      <c r="AG19" s="115">
        <v>7468</v>
      </c>
      <c r="AH19" s="131">
        <v>7030</v>
      </c>
      <c r="AI19" s="115">
        <v>3464</v>
      </c>
      <c r="AJ19" s="114">
        <v>3073</v>
      </c>
      <c r="AK19" s="115">
        <v>4756</v>
      </c>
      <c r="AL19" s="115">
        <v>4779</v>
      </c>
      <c r="AM19" s="115">
        <v>6495</v>
      </c>
      <c r="AN19" s="115">
        <v>3106</v>
      </c>
      <c r="AO19" s="115">
        <v>5125</v>
      </c>
      <c r="AP19" s="131">
        <v>5476</v>
      </c>
      <c r="AQ19" s="115">
        <f>664+28</f>
        <v>692</v>
      </c>
      <c r="AR19" s="114">
        <f>747+27</f>
        <v>774</v>
      </c>
      <c r="AS19" s="115">
        <f>711+33</f>
        <v>744</v>
      </c>
      <c r="AT19" s="115">
        <v>618</v>
      </c>
      <c r="AU19" s="115">
        <v>527</v>
      </c>
      <c r="AV19" s="115">
        <v>131</v>
      </c>
      <c r="AW19" s="115">
        <v>342</v>
      </c>
      <c r="AX19" s="131">
        <v>270</v>
      </c>
      <c r="AY19" s="115">
        <v>2332</v>
      </c>
      <c r="AZ19" s="114">
        <v>2578</v>
      </c>
      <c r="BA19" s="115">
        <v>3433</v>
      </c>
      <c r="BB19" s="115">
        <v>3270</v>
      </c>
      <c r="BC19" s="115">
        <v>3198</v>
      </c>
      <c r="BD19" s="115">
        <v>388</v>
      </c>
      <c r="BE19" s="115">
        <v>1151</v>
      </c>
      <c r="BF19" s="131">
        <v>882</v>
      </c>
      <c r="BG19" s="116" t="s">
        <v>54</v>
      </c>
      <c r="BH19" s="115" t="s">
        <v>54</v>
      </c>
      <c r="BI19" s="115">
        <v>2704</v>
      </c>
      <c r="BJ19" s="115">
        <v>2715</v>
      </c>
      <c r="BK19" s="115">
        <v>7543</v>
      </c>
      <c r="BL19" s="115">
        <v>2763</v>
      </c>
      <c r="BM19" s="115">
        <v>5853</v>
      </c>
      <c r="BN19" s="131">
        <v>6286</v>
      </c>
      <c r="BO19" s="116" t="s">
        <v>54</v>
      </c>
      <c r="BP19" s="115" t="s">
        <v>54</v>
      </c>
      <c r="BQ19" s="115" t="s">
        <v>54</v>
      </c>
      <c r="BR19" s="115">
        <v>10176</v>
      </c>
      <c r="BS19" s="115">
        <v>9372</v>
      </c>
      <c r="BT19" s="115">
        <v>3729</v>
      </c>
      <c r="BU19" s="115">
        <v>6363</v>
      </c>
      <c r="BV19" s="131">
        <v>6481</v>
      </c>
      <c r="BW19" s="115">
        <v>911</v>
      </c>
      <c r="BX19" s="115">
        <v>1240</v>
      </c>
      <c r="BY19" s="131">
        <v>891</v>
      </c>
      <c r="BZ19" s="115">
        <v>26</v>
      </c>
      <c r="CA19" s="115">
        <v>420</v>
      </c>
      <c r="CB19" s="131">
        <v>793</v>
      </c>
      <c r="CC19" s="115">
        <v>1512</v>
      </c>
      <c r="CD19" s="115">
        <v>727</v>
      </c>
      <c r="CE19" s="115">
        <v>1133</v>
      </c>
      <c r="CF19" s="131">
        <v>1598</v>
      </c>
      <c r="CG19" s="115">
        <v>391</v>
      </c>
      <c r="CH19" s="115">
        <v>647</v>
      </c>
      <c r="CI19" s="131">
        <v>1238</v>
      </c>
      <c r="CJ19" s="131">
        <v>1132</v>
      </c>
      <c r="CK19" s="117" t="s">
        <v>33</v>
      </c>
    </row>
    <row r="20" spans="1:97" s="94" customFormat="1" ht="15.75" x14ac:dyDescent="0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O20" s="120"/>
      <c r="CP20" s="64"/>
      <c r="CQ20" s="64"/>
      <c r="CR20" s="64"/>
      <c r="CS20" s="64"/>
    </row>
    <row r="21" spans="1:97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</row>
    <row r="22" spans="1:97" x14ac:dyDescent="0.25">
      <c r="A22" s="89" t="s">
        <v>82</v>
      </c>
    </row>
    <row r="23" spans="1:97" s="63" customFormat="1" ht="21.75" customHeight="1" x14ac:dyDescent="0.55000000000000004">
      <c r="A23" s="183" t="s">
        <v>8</v>
      </c>
      <c r="B23" s="75"/>
      <c r="C23" s="186" t="s">
        <v>71</v>
      </c>
      <c r="D23" s="180"/>
      <c r="E23" s="180"/>
      <c r="F23" s="180"/>
      <c r="G23" s="180"/>
      <c r="H23" s="180"/>
      <c r="I23" s="180"/>
      <c r="J23" s="180"/>
      <c r="K23" s="187" t="s">
        <v>73</v>
      </c>
      <c r="L23" s="180"/>
      <c r="M23" s="180"/>
      <c r="N23" s="180"/>
      <c r="O23" s="180"/>
      <c r="P23" s="180"/>
      <c r="Q23" s="180"/>
      <c r="R23" s="188"/>
      <c r="S23" s="180" t="s">
        <v>74</v>
      </c>
      <c r="T23" s="180"/>
      <c r="U23" s="180"/>
      <c r="V23" s="180"/>
      <c r="W23" s="180"/>
      <c r="X23" s="180"/>
      <c r="Y23" s="180"/>
      <c r="Z23" s="181"/>
      <c r="AA23" s="179" t="s">
        <v>75</v>
      </c>
      <c r="AB23" s="180"/>
      <c r="AC23" s="180"/>
      <c r="AD23" s="180"/>
      <c r="AE23" s="180"/>
      <c r="AF23" s="180"/>
      <c r="AG23" s="180"/>
      <c r="AH23" s="181"/>
      <c r="AI23" s="179" t="s">
        <v>76</v>
      </c>
      <c r="AJ23" s="180"/>
      <c r="AK23" s="180"/>
      <c r="AL23" s="180"/>
      <c r="AM23" s="180"/>
      <c r="AN23" s="180"/>
      <c r="AO23" s="180"/>
      <c r="AP23" s="181"/>
      <c r="AQ23" s="179" t="s">
        <v>77</v>
      </c>
      <c r="AR23" s="180"/>
      <c r="AS23" s="180"/>
      <c r="AT23" s="180"/>
      <c r="AU23" s="180"/>
      <c r="AV23" s="180"/>
      <c r="AW23" s="180"/>
      <c r="AX23" s="181"/>
      <c r="AY23" s="179" t="s">
        <v>78</v>
      </c>
      <c r="AZ23" s="180"/>
      <c r="BA23" s="180"/>
      <c r="BB23" s="180"/>
      <c r="BC23" s="180"/>
      <c r="BD23" s="180"/>
      <c r="BE23" s="180"/>
      <c r="BF23" s="181"/>
      <c r="BG23" s="179" t="s">
        <v>80</v>
      </c>
      <c r="BH23" s="180"/>
      <c r="BI23" s="180"/>
      <c r="BJ23" s="180"/>
      <c r="BK23" s="180"/>
      <c r="BL23" s="180"/>
      <c r="BM23" s="180"/>
      <c r="BN23" s="181"/>
      <c r="BO23" s="179" t="s">
        <v>79</v>
      </c>
      <c r="BP23" s="180"/>
      <c r="BQ23" s="180"/>
      <c r="BR23" s="180"/>
      <c r="BS23" s="180"/>
      <c r="BT23" s="180"/>
      <c r="BU23" s="180"/>
      <c r="BV23" s="181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76" t="s">
        <v>9</v>
      </c>
    </row>
    <row r="24" spans="1:97" s="64" customFormat="1" ht="16.5" customHeight="1" x14ac:dyDescent="0.25">
      <c r="A24" s="184"/>
      <c r="B24" s="78"/>
      <c r="C24" s="182" t="s">
        <v>70</v>
      </c>
      <c r="D24" s="172"/>
      <c r="E24" s="172"/>
      <c r="F24" s="172"/>
      <c r="G24" s="172"/>
      <c r="H24" s="172"/>
      <c r="I24" s="172"/>
      <c r="J24" s="172"/>
      <c r="K24" s="189" t="s">
        <v>72</v>
      </c>
      <c r="L24" s="172"/>
      <c r="M24" s="172"/>
      <c r="N24" s="172"/>
      <c r="O24" s="172"/>
      <c r="P24" s="172"/>
      <c r="Q24" s="172"/>
      <c r="R24" s="190"/>
      <c r="S24" s="172" t="s">
        <v>83</v>
      </c>
      <c r="T24" s="172"/>
      <c r="U24" s="172"/>
      <c r="V24" s="172"/>
      <c r="W24" s="172"/>
      <c r="X24" s="172"/>
      <c r="Y24" s="172"/>
      <c r="Z24" s="175"/>
      <c r="AA24" s="174" t="s">
        <v>84</v>
      </c>
      <c r="AB24" s="172"/>
      <c r="AC24" s="172"/>
      <c r="AD24" s="172"/>
      <c r="AE24" s="172"/>
      <c r="AF24" s="172"/>
      <c r="AG24" s="172"/>
      <c r="AH24" s="175"/>
      <c r="AI24" s="174" t="s">
        <v>85</v>
      </c>
      <c r="AJ24" s="172"/>
      <c r="AK24" s="172"/>
      <c r="AL24" s="172"/>
      <c r="AM24" s="172"/>
      <c r="AN24" s="172"/>
      <c r="AO24" s="172"/>
      <c r="AP24" s="175"/>
      <c r="AQ24" s="174" t="s">
        <v>86</v>
      </c>
      <c r="AR24" s="172"/>
      <c r="AS24" s="172"/>
      <c r="AT24" s="172"/>
      <c r="AU24" s="172"/>
      <c r="AV24" s="172"/>
      <c r="AW24" s="172"/>
      <c r="AX24" s="175"/>
      <c r="AY24" s="174" t="s">
        <v>87</v>
      </c>
      <c r="AZ24" s="172"/>
      <c r="BA24" s="172"/>
      <c r="BB24" s="172"/>
      <c r="BC24" s="172"/>
      <c r="BD24" s="172"/>
      <c r="BE24" s="172"/>
      <c r="BF24" s="175"/>
      <c r="BG24" s="174" t="s">
        <v>88</v>
      </c>
      <c r="BH24" s="172"/>
      <c r="BI24" s="172"/>
      <c r="BJ24" s="172"/>
      <c r="BK24" s="172"/>
      <c r="BL24" s="172"/>
      <c r="BM24" s="172"/>
      <c r="BN24" s="175"/>
      <c r="BO24" s="174" t="s">
        <v>89</v>
      </c>
      <c r="BP24" s="172"/>
      <c r="BQ24" s="172"/>
      <c r="BR24" s="172"/>
      <c r="BS24" s="172"/>
      <c r="BT24" s="172"/>
      <c r="BU24" s="172"/>
      <c r="BV24" s="175"/>
      <c r="BW24" s="172" t="s">
        <v>90</v>
      </c>
      <c r="BX24" s="172"/>
      <c r="BY24" s="172"/>
      <c r="BZ24" s="172" t="s">
        <v>91</v>
      </c>
      <c r="CA24" s="172"/>
      <c r="CB24" s="172"/>
      <c r="CC24" s="172" t="s">
        <v>92</v>
      </c>
      <c r="CD24" s="172"/>
      <c r="CE24" s="172"/>
      <c r="CF24" s="172"/>
      <c r="CG24" s="172" t="s">
        <v>93</v>
      </c>
      <c r="CH24" s="172"/>
      <c r="CI24" s="172"/>
      <c r="CJ24" s="127" t="s">
        <v>94</v>
      </c>
      <c r="CK24" s="177"/>
    </row>
    <row r="25" spans="1:97" s="94" customFormat="1" ht="23.25" customHeight="1" x14ac:dyDescent="0.25">
      <c r="A25" s="185"/>
      <c r="B25" s="80"/>
      <c r="C25" s="83">
        <v>2015</v>
      </c>
      <c r="D25" s="85">
        <v>2016</v>
      </c>
      <c r="E25" s="86">
        <v>2017</v>
      </c>
      <c r="F25" s="86">
        <v>2018</v>
      </c>
      <c r="G25" s="86">
        <v>2019</v>
      </c>
      <c r="H25" s="86">
        <v>2020</v>
      </c>
      <c r="I25" s="86">
        <v>2021</v>
      </c>
      <c r="J25" s="88">
        <v>2022</v>
      </c>
      <c r="K25" s="84">
        <v>2015</v>
      </c>
      <c r="L25" s="85">
        <v>2016</v>
      </c>
      <c r="M25" s="86">
        <v>2017</v>
      </c>
      <c r="N25" s="86">
        <v>2018</v>
      </c>
      <c r="O25" s="86">
        <v>2019</v>
      </c>
      <c r="P25" s="86">
        <v>2020</v>
      </c>
      <c r="Q25" s="86">
        <v>2021</v>
      </c>
      <c r="R25" s="88">
        <v>2022</v>
      </c>
      <c r="S25" s="86">
        <v>2015</v>
      </c>
      <c r="T25" s="85">
        <v>2016</v>
      </c>
      <c r="U25" s="86">
        <v>2017</v>
      </c>
      <c r="V25" s="86">
        <v>2018</v>
      </c>
      <c r="W25" s="86">
        <v>2019</v>
      </c>
      <c r="X25" s="86">
        <v>2020</v>
      </c>
      <c r="Y25" s="86">
        <v>2021</v>
      </c>
      <c r="Z25" s="88">
        <v>2022</v>
      </c>
      <c r="AA25" s="86">
        <v>2015</v>
      </c>
      <c r="AB25" s="85">
        <v>2016</v>
      </c>
      <c r="AC25" s="86">
        <v>2017</v>
      </c>
      <c r="AD25" s="86">
        <v>2018</v>
      </c>
      <c r="AE25" s="86">
        <v>2019</v>
      </c>
      <c r="AF25" s="86">
        <v>2020</v>
      </c>
      <c r="AG25" s="86">
        <v>2021</v>
      </c>
      <c r="AH25" s="88">
        <v>2022</v>
      </c>
      <c r="AI25" s="91">
        <v>2015</v>
      </c>
      <c r="AJ25" s="85">
        <v>2016</v>
      </c>
      <c r="AK25" s="86">
        <v>2017</v>
      </c>
      <c r="AL25" s="86">
        <v>2018</v>
      </c>
      <c r="AM25" s="86">
        <v>2019</v>
      </c>
      <c r="AN25" s="86">
        <v>2020</v>
      </c>
      <c r="AO25" s="86">
        <v>2021</v>
      </c>
      <c r="AP25" s="88">
        <v>2022</v>
      </c>
      <c r="AQ25" s="91">
        <v>2015</v>
      </c>
      <c r="AR25" s="85">
        <v>2016</v>
      </c>
      <c r="AS25" s="86">
        <v>2017</v>
      </c>
      <c r="AT25" s="86">
        <v>2018</v>
      </c>
      <c r="AU25" s="86">
        <v>2019</v>
      </c>
      <c r="AV25" s="86">
        <v>2020</v>
      </c>
      <c r="AW25" s="86">
        <v>2021</v>
      </c>
      <c r="AX25" s="88">
        <v>2022</v>
      </c>
      <c r="AY25" s="91">
        <v>2015</v>
      </c>
      <c r="AZ25" s="85">
        <v>2016</v>
      </c>
      <c r="BA25" s="86">
        <v>2017</v>
      </c>
      <c r="BB25" s="86">
        <v>2018</v>
      </c>
      <c r="BC25" s="86">
        <v>2019</v>
      </c>
      <c r="BD25" s="86">
        <v>2020</v>
      </c>
      <c r="BE25" s="86">
        <v>2021</v>
      </c>
      <c r="BF25" s="88">
        <v>2022</v>
      </c>
      <c r="BG25" s="91">
        <v>2015</v>
      </c>
      <c r="BH25" s="85">
        <v>2016</v>
      </c>
      <c r="BI25" s="86">
        <v>2017</v>
      </c>
      <c r="BJ25" s="86">
        <v>2018</v>
      </c>
      <c r="BK25" s="86">
        <v>2019</v>
      </c>
      <c r="BL25" s="86">
        <v>2020</v>
      </c>
      <c r="BM25" s="86">
        <v>2021</v>
      </c>
      <c r="BN25" s="88">
        <v>2022</v>
      </c>
      <c r="BO25" s="91">
        <v>2015</v>
      </c>
      <c r="BP25" s="85">
        <v>2016</v>
      </c>
      <c r="BQ25" s="86">
        <v>2017</v>
      </c>
      <c r="BR25" s="86">
        <v>2018</v>
      </c>
      <c r="BS25" s="86">
        <v>2019</v>
      </c>
      <c r="BT25" s="86">
        <v>2020</v>
      </c>
      <c r="BU25" s="86">
        <v>2021</v>
      </c>
      <c r="BV25" s="88">
        <v>2022</v>
      </c>
      <c r="BW25" s="86">
        <v>2020</v>
      </c>
      <c r="BX25" s="86">
        <v>2021</v>
      </c>
      <c r="BY25" s="88">
        <v>2022</v>
      </c>
      <c r="BZ25" s="86">
        <v>2020</v>
      </c>
      <c r="CA25" s="86">
        <v>2021</v>
      </c>
      <c r="CB25" s="88">
        <v>2022</v>
      </c>
      <c r="CC25" s="86">
        <v>2019</v>
      </c>
      <c r="CD25" s="86">
        <v>2020</v>
      </c>
      <c r="CE25" s="86">
        <v>2021</v>
      </c>
      <c r="CF25" s="88">
        <v>2022</v>
      </c>
      <c r="CG25" s="86">
        <v>2020</v>
      </c>
      <c r="CH25" s="86">
        <v>2021</v>
      </c>
      <c r="CI25" s="88">
        <v>2022</v>
      </c>
      <c r="CJ25" s="88">
        <v>2022</v>
      </c>
      <c r="CK25" s="178"/>
      <c r="CL25" s="93"/>
    </row>
    <row r="26" spans="1:97" s="94" customFormat="1" ht="23.25" customHeight="1" x14ac:dyDescent="0.4">
      <c r="A26" s="95" t="s">
        <v>4</v>
      </c>
      <c r="B26" s="95"/>
      <c r="C26" s="96">
        <f t="shared" ref="C26:N26" si="14">SUM(C27:C38)</f>
        <v>54554</v>
      </c>
      <c r="D26" s="97">
        <f t="shared" si="14"/>
        <v>69410</v>
      </c>
      <c r="E26" s="98">
        <f t="shared" si="14"/>
        <v>73689</v>
      </c>
      <c r="F26" s="98">
        <f t="shared" si="14"/>
        <v>75166</v>
      </c>
      <c r="G26" s="98">
        <f t="shared" si="14"/>
        <v>72817</v>
      </c>
      <c r="H26" s="121">
        <f t="shared" ref="H26:J26" si="15">SUM(H27:H38)</f>
        <v>21420</v>
      </c>
      <c r="I26" s="121">
        <f t="shared" si="15"/>
        <v>35198</v>
      </c>
      <c r="J26" s="99">
        <f t="shared" si="15"/>
        <v>50092</v>
      </c>
      <c r="K26" s="122">
        <f t="shared" si="14"/>
        <v>34994</v>
      </c>
      <c r="L26" s="97">
        <f t="shared" si="14"/>
        <v>37984</v>
      </c>
      <c r="M26" s="98">
        <f t="shared" si="14"/>
        <v>37264</v>
      </c>
      <c r="N26" s="98">
        <f t="shared" si="14"/>
        <v>35534</v>
      </c>
      <c r="O26" s="98">
        <f>SUM(O27:O38)</f>
        <v>40143</v>
      </c>
      <c r="P26" s="121">
        <f t="shared" ref="P26:R26" si="16">SUM(P27:P38)</f>
        <v>21420</v>
      </c>
      <c r="Q26" s="121">
        <f t="shared" si="16"/>
        <v>24691</v>
      </c>
      <c r="R26" s="99">
        <f t="shared" si="16"/>
        <v>42289</v>
      </c>
      <c r="S26" s="98">
        <f t="shared" ref="S26:W26" si="17">SUM(S27:S38)</f>
        <v>19061</v>
      </c>
      <c r="T26" s="97">
        <f t="shared" si="17"/>
        <v>20078</v>
      </c>
      <c r="U26" s="98">
        <f t="shared" si="17"/>
        <v>19720</v>
      </c>
      <c r="V26" s="98">
        <f t="shared" si="17"/>
        <v>20569</v>
      </c>
      <c r="W26" s="98">
        <f t="shared" si="17"/>
        <v>23545</v>
      </c>
      <c r="X26" s="98">
        <f t="shared" ref="X26:Z26" si="18">SUM(X27:X38)</f>
        <v>9004</v>
      </c>
      <c r="Y26" s="121">
        <f t="shared" si="18"/>
        <v>15180</v>
      </c>
      <c r="Z26" s="99">
        <f t="shared" si="18"/>
        <v>24735</v>
      </c>
      <c r="AA26" s="98">
        <f>SUM(AA27:AA38)</f>
        <v>73112</v>
      </c>
      <c r="AB26" s="97">
        <f t="shared" ref="AB26:AH26" si="19">SUM(AB27:AB38)</f>
        <v>81711</v>
      </c>
      <c r="AC26" s="98">
        <f t="shared" si="19"/>
        <v>95828</v>
      </c>
      <c r="AD26" s="98">
        <f t="shared" si="19"/>
        <v>109970</v>
      </c>
      <c r="AE26" s="98">
        <f t="shared" si="19"/>
        <v>128343</v>
      </c>
      <c r="AF26" s="121">
        <f t="shared" si="19"/>
        <v>9004</v>
      </c>
      <c r="AG26" s="121">
        <f t="shared" si="19"/>
        <v>45163</v>
      </c>
      <c r="AH26" s="99">
        <f t="shared" si="19"/>
        <v>71669</v>
      </c>
      <c r="AI26" s="98">
        <f t="shared" ref="AI26:AK26" si="20">SUM(AI27:AI38)</f>
        <v>32876</v>
      </c>
      <c r="AJ26" s="97">
        <f t="shared" si="20"/>
        <v>23822</v>
      </c>
      <c r="AK26" s="98">
        <f t="shared" si="20"/>
        <v>36618</v>
      </c>
      <c r="AL26" s="98">
        <f>SUM(AL27:AL38)</f>
        <v>42625</v>
      </c>
      <c r="AM26" s="98">
        <f t="shared" ref="AM26:AR26" si="21">SUM(AM27:AM38)</f>
        <v>50269</v>
      </c>
      <c r="AN26" s="121">
        <f t="shared" ref="AN26:AP26" si="22">SUM(AN27:AN38)</f>
        <v>20980</v>
      </c>
      <c r="AO26" s="121">
        <f t="shared" si="22"/>
        <v>37850</v>
      </c>
      <c r="AP26" s="99">
        <f t="shared" si="22"/>
        <v>59141</v>
      </c>
      <c r="AQ26" s="98">
        <f t="shared" si="21"/>
        <v>5043</v>
      </c>
      <c r="AR26" s="97">
        <f t="shared" si="21"/>
        <v>6293</v>
      </c>
      <c r="AS26" s="98">
        <f>SUM(AS27:AS38)</f>
        <v>6021</v>
      </c>
      <c r="AT26" s="98">
        <f t="shared" ref="AT26:BB26" si="23">SUM(AT27:AT38)</f>
        <v>5342</v>
      </c>
      <c r="AU26" s="98">
        <f t="shared" si="23"/>
        <v>5335</v>
      </c>
      <c r="AV26" s="121">
        <f t="shared" ref="AV26:AX26" si="24">SUM(AV27:AV38)</f>
        <v>1776</v>
      </c>
      <c r="AW26" s="121">
        <f t="shared" si="24"/>
        <v>2083</v>
      </c>
      <c r="AX26" s="99">
        <f t="shared" si="24"/>
        <v>4158</v>
      </c>
      <c r="AY26" s="98">
        <f t="shared" si="23"/>
        <v>9356</v>
      </c>
      <c r="AZ26" s="97">
        <f t="shared" si="23"/>
        <v>25402</v>
      </c>
      <c r="BA26" s="98">
        <f t="shared" si="23"/>
        <v>33522</v>
      </c>
      <c r="BB26" s="98">
        <f t="shared" si="23"/>
        <v>35169</v>
      </c>
      <c r="BC26" s="98">
        <f>SUM(BC27:BC38)</f>
        <v>41596</v>
      </c>
      <c r="BD26" s="121">
        <f t="shared" ref="BD26:BF26" si="25">SUM(BD27:BD38)</f>
        <v>6742</v>
      </c>
      <c r="BE26" s="121">
        <f t="shared" si="25"/>
        <v>5834</v>
      </c>
      <c r="BF26" s="99">
        <f t="shared" si="25"/>
        <v>11209</v>
      </c>
      <c r="BG26" s="102" t="s">
        <v>54</v>
      </c>
      <c r="BH26" s="102" t="s">
        <v>54</v>
      </c>
      <c r="BI26" s="98">
        <f t="shared" ref="BI26:BK26" si="26">SUM(BI27:BI38)</f>
        <v>6685</v>
      </c>
      <c r="BJ26" s="98">
        <f t="shared" si="26"/>
        <v>22713</v>
      </c>
      <c r="BK26" s="98">
        <f t="shared" si="26"/>
        <v>52974</v>
      </c>
      <c r="BL26" s="121">
        <f>SUM(BL27:BL38)</f>
        <v>19854</v>
      </c>
      <c r="BM26" s="121">
        <f t="shared" ref="BM26:BN26" si="27">SUM(BM27:BM38)</f>
        <v>40342</v>
      </c>
      <c r="BN26" s="99">
        <f t="shared" si="27"/>
        <v>61730</v>
      </c>
      <c r="BO26" s="102" t="s">
        <v>54</v>
      </c>
      <c r="BP26" s="102" t="s">
        <v>54</v>
      </c>
      <c r="BQ26" s="98" t="s">
        <v>54</v>
      </c>
      <c r="BR26" s="98">
        <f t="shared" ref="BR26:BS26" si="28">SUM(BR27:BR38)</f>
        <v>102744</v>
      </c>
      <c r="BS26" s="98">
        <f t="shared" si="28"/>
        <v>111227</v>
      </c>
      <c r="BT26" s="121">
        <f>SUM(BT27:BT38)</f>
        <v>26246</v>
      </c>
      <c r="BU26" s="121">
        <f t="shared" ref="BU26:BV26" si="29">SUM(BU27:BU38)</f>
        <v>51737</v>
      </c>
      <c r="BV26" s="99">
        <f t="shared" si="29"/>
        <v>69388</v>
      </c>
      <c r="BW26" s="121">
        <f>SUM(BW27:BW38)</f>
        <v>1279</v>
      </c>
      <c r="BX26" s="121">
        <f t="shared" ref="BX26:BY26" si="30">SUM(BX27:BX38)</f>
        <v>8301</v>
      </c>
      <c r="BY26" s="99">
        <f t="shared" si="30"/>
        <v>9695</v>
      </c>
      <c r="BZ26" s="121">
        <f>SUM(BZ27:BZ38)</f>
        <v>1346</v>
      </c>
      <c r="CA26" s="121">
        <f t="shared" ref="CA26:CB26" si="31">SUM(CA27:CA38)</f>
        <v>2906</v>
      </c>
      <c r="CB26" s="99">
        <f t="shared" si="31"/>
        <v>6045</v>
      </c>
      <c r="CC26" s="121"/>
      <c r="CD26" s="121">
        <f>SUM(CD27:CD38)</f>
        <v>6688</v>
      </c>
      <c r="CE26" s="121">
        <f t="shared" ref="CE26:CF26" si="32">SUM(CE27:CE38)</f>
        <v>9960</v>
      </c>
      <c r="CF26" s="99">
        <f t="shared" si="32"/>
        <v>15992</v>
      </c>
      <c r="CG26" s="121">
        <f>SUM(CG27:CG38)</f>
        <v>584</v>
      </c>
      <c r="CH26" s="121">
        <f t="shared" ref="CH26:CI26" si="33">SUM(CH27:CH38)</f>
        <v>5239</v>
      </c>
      <c r="CI26" s="99">
        <f t="shared" si="33"/>
        <v>10264</v>
      </c>
      <c r="CJ26" s="99">
        <f t="shared" ref="CJ26" si="34">SUM(CJ27:CJ38)</f>
        <v>8227</v>
      </c>
      <c r="CK26" s="103" t="s">
        <v>5</v>
      </c>
    </row>
    <row r="27" spans="1:97" s="94" customFormat="1" ht="23.25" customHeight="1" x14ac:dyDescent="0.4">
      <c r="A27" s="104" t="s">
        <v>10</v>
      </c>
      <c r="B27" s="105"/>
      <c r="C27" s="106">
        <v>4749</v>
      </c>
      <c r="D27" s="107">
        <v>5244</v>
      </c>
      <c r="E27" s="108">
        <v>7498</v>
      </c>
      <c r="F27" s="108">
        <v>7053</v>
      </c>
      <c r="G27" s="108">
        <v>7113</v>
      </c>
      <c r="H27" s="108">
        <v>6916</v>
      </c>
      <c r="I27" s="108">
        <v>2878</v>
      </c>
      <c r="J27" s="128">
        <v>4665</v>
      </c>
      <c r="K27" s="123">
        <v>3217</v>
      </c>
      <c r="L27" s="107">
        <v>3473</v>
      </c>
      <c r="M27" s="108">
        <v>3454</v>
      </c>
      <c r="N27" s="108">
        <v>3729</v>
      </c>
      <c r="O27" s="108">
        <v>3842</v>
      </c>
      <c r="P27" s="108">
        <v>6916</v>
      </c>
      <c r="Q27" s="108">
        <v>2275</v>
      </c>
      <c r="R27" s="128">
        <v>3664</v>
      </c>
      <c r="S27" s="108">
        <v>1551</v>
      </c>
      <c r="T27" s="107">
        <f>1514+38</f>
        <v>1552</v>
      </c>
      <c r="U27" s="108">
        <f>1548+44</f>
        <v>1592</v>
      </c>
      <c r="V27" s="108">
        <f>1338+50</f>
        <v>1388</v>
      </c>
      <c r="W27" s="108">
        <f>1807+63</f>
        <v>1870</v>
      </c>
      <c r="X27" s="108">
        <v>1691</v>
      </c>
      <c r="Y27" s="108">
        <v>1224</v>
      </c>
      <c r="Z27" s="128">
        <v>1700</v>
      </c>
      <c r="AA27" s="108">
        <v>5312</v>
      </c>
      <c r="AB27" s="107">
        <v>6670</v>
      </c>
      <c r="AC27" s="108">
        <v>7844</v>
      </c>
      <c r="AD27" s="108">
        <v>10274</v>
      </c>
      <c r="AE27" s="108">
        <v>10201</v>
      </c>
      <c r="AF27" s="108">
        <v>1691</v>
      </c>
      <c r="AG27" s="108">
        <v>2684</v>
      </c>
      <c r="AH27" s="128">
        <v>6014</v>
      </c>
      <c r="AI27" s="108">
        <v>3419</v>
      </c>
      <c r="AJ27" s="107">
        <v>2032</v>
      </c>
      <c r="AK27" s="108">
        <v>2148</v>
      </c>
      <c r="AL27" s="108">
        <v>4371</v>
      </c>
      <c r="AM27" s="108">
        <v>4663</v>
      </c>
      <c r="AN27" s="108">
        <v>6082</v>
      </c>
      <c r="AO27" s="108">
        <v>3048</v>
      </c>
      <c r="AP27" s="128">
        <v>4827</v>
      </c>
      <c r="AQ27" s="108">
        <f>392+19</f>
        <v>411</v>
      </c>
      <c r="AR27" s="107">
        <f>559+22</f>
        <v>581</v>
      </c>
      <c r="AS27" s="108">
        <f>431+21</f>
        <v>452</v>
      </c>
      <c r="AT27" s="108">
        <f>494+12</f>
        <v>506</v>
      </c>
      <c r="AU27" s="108">
        <f>625+21</f>
        <v>646</v>
      </c>
      <c r="AV27" s="108">
        <v>558</v>
      </c>
      <c r="AW27" s="108">
        <v>176</v>
      </c>
      <c r="AX27" s="128">
        <v>363</v>
      </c>
      <c r="AY27" s="108" t="s">
        <v>54</v>
      </c>
      <c r="AZ27" s="107">
        <v>2039</v>
      </c>
      <c r="BA27" s="108">
        <v>2257</v>
      </c>
      <c r="BB27" s="108">
        <v>2789</v>
      </c>
      <c r="BC27" s="108">
        <v>3410</v>
      </c>
      <c r="BD27" s="108">
        <v>2796</v>
      </c>
      <c r="BE27" s="108">
        <v>435</v>
      </c>
      <c r="BF27" s="128">
        <v>1435</v>
      </c>
      <c r="BG27" s="108" t="s">
        <v>54</v>
      </c>
      <c r="BH27" s="108" t="s">
        <v>54</v>
      </c>
      <c r="BI27" s="108" t="s">
        <v>54</v>
      </c>
      <c r="BJ27" s="108">
        <v>2008</v>
      </c>
      <c r="BK27" s="108">
        <v>2707</v>
      </c>
      <c r="BL27" s="108">
        <v>7643</v>
      </c>
      <c r="BM27" s="108">
        <v>2763</v>
      </c>
      <c r="BN27" s="128">
        <v>5047</v>
      </c>
      <c r="BO27" s="108" t="s">
        <v>54</v>
      </c>
      <c r="BP27" s="108" t="s">
        <v>54</v>
      </c>
      <c r="BQ27" s="108" t="s">
        <v>54</v>
      </c>
      <c r="BR27" s="108">
        <v>9317</v>
      </c>
      <c r="BS27" s="108">
        <v>9847</v>
      </c>
      <c r="BT27" s="108">
        <v>9082</v>
      </c>
      <c r="BU27" s="108">
        <v>3806</v>
      </c>
      <c r="BV27" s="128">
        <v>4628</v>
      </c>
      <c r="BW27" s="108" t="s">
        <v>54</v>
      </c>
      <c r="BX27" s="108">
        <v>800</v>
      </c>
      <c r="BY27" s="128">
        <v>681</v>
      </c>
      <c r="BZ27" s="108" t="s">
        <v>54</v>
      </c>
      <c r="CA27" s="108">
        <v>238</v>
      </c>
      <c r="CB27" s="128">
        <v>467</v>
      </c>
      <c r="CC27" s="108" t="s">
        <v>54</v>
      </c>
      <c r="CD27" s="108">
        <v>1450</v>
      </c>
      <c r="CE27" s="108">
        <v>921</v>
      </c>
      <c r="CF27" s="128">
        <v>1158</v>
      </c>
      <c r="CG27" s="108"/>
      <c r="CH27" s="108">
        <v>550</v>
      </c>
      <c r="CI27" s="128">
        <v>619</v>
      </c>
      <c r="CJ27" s="128"/>
      <c r="CK27" s="110" t="s">
        <v>11</v>
      </c>
      <c r="CP27" s="64"/>
      <c r="CQ27" s="64"/>
      <c r="CR27" s="64"/>
      <c r="CS27" s="64"/>
    </row>
    <row r="28" spans="1:97" s="94" customFormat="1" ht="23.25" customHeight="1" x14ac:dyDescent="0.4">
      <c r="A28" s="104" t="s">
        <v>12</v>
      </c>
      <c r="B28" s="105"/>
      <c r="C28" s="106">
        <v>4369</v>
      </c>
      <c r="D28" s="107">
        <v>5777</v>
      </c>
      <c r="E28" s="108">
        <v>6854</v>
      </c>
      <c r="F28" s="108">
        <v>6232</v>
      </c>
      <c r="G28" s="108">
        <v>6103</v>
      </c>
      <c r="H28" s="108">
        <v>5026</v>
      </c>
      <c r="I28" s="108">
        <v>2270</v>
      </c>
      <c r="J28" s="128">
        <v>3571</v>
      </c>
      <c r="K28" s="123">
        <v>2607</v>
      </c>
      <c r="L28" s="107">
        <v>2517</v>
      </c>
      <c r="M28" s="108">
        <v>2625</v>
      </c>
      <c r="N28" s="108">
        <v>2335</v>
      </c>
      <c r="O28" s="108">
        <v>3093</v>
      </c>
      <c r="P28" s="108">
        <v>5026</v>
      </c>
      <c r="Q28" s="108">
        <v>1130</v>
      </c>
      <c r="R28" s="128">
        <v>2589</v>
      </c>
      <c r="S28" s="108">
        <f>1367+36</f>
        <v>1403</v>
      </c>
      <c r="T28" s="107">
        <f>1151+25</f>
        <v>1176</v>
      </c>
      <c r="U28" s="108">
        <f>1176+31</f>
        <v>1207</v>
      </c>
      <c r="V28" s="108">
        <f>1124+38</f>
        <v>1162</v>
      </c>
      <c r="W28" s="108">
        <f>1657+37</f>
        <v>1694</v>
      </c>
      <c r="X28" s="108">
        <v>1678</v>
      </c>
      <c r="Y28" s="108">
        <v>431</v>
      </c>
      <c r="Z28" s="128">
        <v>1548</v>
      </c>
      <c r="AA28" s="108">
        <v>5708</v>
      </c>
      <c r="AB28" s="107">
        <v>5943</v>
      </c>
      <c r="AC28" s="108">
        <v>6708</v>
      </c>
      <c r="AD28" s="108">
        <v>9504</v>
      </c>
      <c r="AE28" s="108">
        <v>9385</v>
      </c>
      <c r="AF28" s="108">
        <v>1678</v>
      </c>
      <c r="AG28" s="108">
        <v>2403</v>
      </c>
      <c r="AH28" s="128">
        <v>4601</v>
      </c>
      <c r="AI28" s="108">
        <v>2985</v>
      </c>
      <c r="AJ28" s="107">
        <v>2100</v>
      </c>
      <c r="AK28" s="108">
        <v>2340</v>
      </c>
      <c r="AL28" s="108">
        <v>3893</v>
      </c>
      <c r="AM28" s="108">
        <v>4604</v>
      </c>
      <c r="AN28" s="108">
        <v>5265</v>
      </c>
      <c r="AO28" s="108">
        <v>2635</v>
      </c>
      <c r="AP28" s="128">
        <v>4847</v>
      </c>
      <c r="AQ28" s="108">
        <f>275+13</f>
        <v>288</v>
      </c>
      <c r="AR28" s="107">
        <f>310+11</f>
        <v>321</v>
      </c>
      <c r="AS28" s="108">
        <f>328+10</f>
        <v>338</v>
      </c>
      <c r="AT28" s="108">
        <f>494+12</f>
        <v>506</v>
      </c>
      <c r="AU28" s="108">
        <f>395+14</f>
        <v>409</v>
      </c>
      <c r="AV28" s="108">
        <v>405</v>
      </c>
      <c r="AW28" s="108">
        <v>25</v>
      </c>
      <c r="AX28" s="128">
        <v>147</v>
      </c>
      <c r="AY28" s="108" t="s">
        <v>54</v>
      </c>
      <c r="AZ28" s="107">
        <v>2314</v>
      </c>
      <c r="BA28" s="108">
        <v>2227</v>
      </c>
      <c r="BB28" s="108">
        <v>3097</v>
      </c>
      <c r="BC28" s="108">
        <v>3234</v>
      </c>
      <c r="BD28" s="108">
        <v>2044</v>
      </c>
      <c r="BE28" s="108">
        <v>228</v>
      </c>
      <c r="BF28" s="128">
        <v>688</v>
      </c>
      <c r="BG28" s="108" t="s">
        <v>54</v>
      </c>
      <c r="BH28" s="108" t="s">
        <v>54</v>
      </c>
      <c r="BI28" s="108" t="s">
        <v>54</v>
      </c>
      <c r="BJ28" s="108">
        <v>2514</v>
      </c>
      <c r="BK28" s="108">
        <v>3195</v>
      </c>
      <c r="BL28" s="108">
        <v>5921</v>
      </c>
      <c r="BM28" s="108">
        <v>2082</v>
      </c>
      <c r="BN28" s="128">
        <v>4514</v>
      </c>
      <c r="BO28" s="108" t="s">
        <v>54</v>
      </c>
      <c r="BP28" s="108" t="s">
        <v>54</v>
      </c>
      <c r="BQ28" s="108" t="s">
        <v>54</v>
      </c>
      <c r="BR28" s="108">
        <v>7571</v>
      </c>
      <c r="BS28" s="108">
        <v>9156</v>
      </c>
      <c r="BT28" s="108">
        <v>7277</v>
      </c>
      <c r="BU28" s="108">
        <v>3668</v>
      </c>
      <c r="BV28" s="128">
        <v>4674</v>
      </c>
      <c r="BW28" s="108" t="s">
        <v>54</v>
      </c>
      <c r="BX28" s="108">
        <v>392</v>
      </c>
      <c r="BY28" s="128">
        <v>527</v>
      </c>
      <c r="BZ28" s="108">
        <v>413</v>
      </c>
      <c r="CA28" s="108">
        <v>90</v>
      </c>
      <c r="CB28" s="128">
        <v>484</v>
      </c>
      <c r="CC28" s="108" t="s">
        <v>54</v>
      </c>
      <c r="CD28" s="108">
        <v>1294</v>
      </c>
      <c r="CE28" s="108">
        <v>514</v>
      </c>
      <c r="CF28" s="128">
        <v>1056</v>
      </c>
      <c r="CG28" s="108"/>
      <c r="CH28" s="108">
        <v>218</v>
      </c>
      <c r="CI28" s="128">
        <v>491</v>
      </c>
      <c r="CJ28" s="128">
        <v>202</v>
      </c>
      <c r="CK28" s="110" t="s">
        <v>13</v>
      </c>
    </row>
    <row r="29" spans="1:97" s="94" customFormat="1" ht="23.25" customHeight="1" x14ac:dyDescent="0.4">
      <c r="A29" s="104" t="s">
        <v>14</v>
      </c>
      <c r="B29" s="105"/>
      <c r="C29" s="106">
        <v>4819</v>
      </c>
      <c r="D29" s="107">
        <v>5061</v>
      </c>
      <c r="E29" s="108">
        <v>6104</v>
      </c>
      <c r="F29" s="108">
        <v>6776</v>
      </c>
      <c r="G29" s="108">
        <v>6400</v>
      </c>
      <c r="H29" s="108">
        <v>3577</v>
      </c>
      <c r="I29" s="108">
        <v>2680</v>
      </c>
      <c r="J29" s="128">
        <v>4409</v>
      </c>
      <c r="K29" s="123">
        <v>2907</v>
      </c>
      <c r="L29" s="107">
        <v>3029</v>
      </c>
      <c r="M29" s="108">
        <v>2955</v>
      </c>
      <c r="N29" s="108">
        <v>3025</v>
      </c>
      <c r="O29" s="108">
        <v>3446</v>
      </c>
      <c r="P29" s="108">
        <v>3577</v>
      </c>
      <c r="Q29" s="108">
        <v>1262</v>
      </c>
      <c r="R29" s="128">
        <v>3724</v>
      </c>
      <c r="S29" s="108">
        <f>1742+61</f>
        <v>1803</v>
      </c>
      <c r="T29" s="107">
        <f>1755+60</f>
        <v>1815</v>
      </c>
      <c r="U29" s="108">
        <f>1701+51</f>
        <v>1752</v>
      </c>
      <c r="V29" s="108">
        <f>1764+56</f>
        <v>1820</v>
      </c>
      <c r="W29" s="108">
        <f>2485+68</f>
        <v>2553</v>
      </c>
      <c r="X29" s="108">
        <v>1360</v>
      </c>
      <c r="Y29" s="108">
        <v>713</v>
      </c>
      <c r="Z29" s="128">
        <v>2289</v>
      </c>
      <c r="AA29" s="108">
        <v>6331</v>
      </c>
      <c r="AB29" s="107">
        <v>6316</v>
      </c>
      <c r="AC29" s="108">
        <v>6821</v>
      </c>
      <c r="AD29" s="108">
        <v>9215</v>
      </c>
      <c r="AE29" s="108">
        <v>9623</v>
      </c>
      <c r="AF29" s="108">
        <v>1360</v>
      </c>
      <c r="AG29" s="108">
        <v>2488</v>
      </c>
      <c r="AH29" s="128">
        <v>6120</v>
      </c>
      <c r="AI29" s="108">
        <v>3305</v>
      </c>
      <c r="AJ29" s="107">
        <v>2195</v>
      </c>
      <c r="AK29" s="108">
        <v>2385</v>
      </c>
      <c r="AL29" s="108">
        <v>4302</v>
      </c>
      <c r="AM29" s="108">
        <v>5188</v>
      </c>
      <c r="AN29" s="108">
        <v>3469</v>
      </c>
      <c r="AO29" s="108">
        <v>2913</v>
      </c>
      <c r="AP29" s="128">
        <v>5609</v>
      </c>
      <c r="AQ29" s="108">
        <f>254+11</f>
        <v>265</v>
      </c>
      <c r="AR29" s="107">
        <f>455+14</f>
        <v>469</v>
      </c>
      <c r="AS29" s="108">
        <f>464+14</f>
        <v>478</v>
      </c>
      <c r="AT29" s="108">
        <f>346+9</f>
        <v>355</v>
      </c>
      <c r="AU29" s="108">
        <f>397+16</f>
        <v>413</v>
      </c>
      <c r="AV29" s="108">
        <v>179</v>
      </c>
      <c r="AW29" s="108">
        <v>38</v>
      </c>
      <c r="AX29" s="128">
        <v>311</v>
      </c>
      <c r="AY29" s="108" t="s">
        <v>54</v>
      </c>
      <c r="AZ29" s="107">
        <v>1862</v>
      </c>
      <c r="BA29" s="108">
        <v>1977</v>
      </c>
      <c r="BB29" s="108">
        <v>2396</v>
      </c>
      <c r="BC29" s="108">
        <v>3483</v>
      </c>
      <c r="BD29" s="108">
        <v>971</v>
      </c>
      <c r="BE29" s="108">
        <v>290</v>
      </c>
      <c r="BF29" s="128">
        <v>647</v>
      </c>
      <c r="BG29" s="108" t="s">
        <v>54</v>
      </c>
      <c r="BH29" s="108" t="s">
        <v>54</v>
      </c>
      <c r="BI29" s="108" t="s">
        <v>54</v>
      </c>
      <c r="BJ29" s="108">
        <v>1741</v>
      </c>
      <c r="BK29" s="108">
        <v>3149</v>
      </c>
      <c r="BL29" s="108">
        <v>4053</v>
      </c>
      <c r="BM29" s="108">
        <v>2633</v>
      </c>
      <c r="BN29" s="128">
        <v>6066</v>
      </c>
      <c r="BO29" s="108" t="s">
        <v>54</v>
      </c>
      <c r="BP29" s="108" t="s">
        <v>54</v>
      </c>
      <c r="BQ29" s="108" t="s">
        <v>54</v>
      </c>
      <c r="BR29" s="108">
        <v>8441</v>
      </c>
      <c r="BS29" s="108">
        <v>9723</v>
      </c>
      <c r="BT29" s="108">
        <v>4675</v>
      </c>
      <c r="BU29" s="108">
        <v>3832</v>
      </c>
      <c r="BV29" s="128">
        <v>7146</v>
      </c>
      <c r="BW29" s="108" t="s">
        <v>54</v>
      </c>
      <c r="BX29" s="108">
        <v>631</v>
      </c>
      <c r="BY29" s="128">
        <v>900</v>
      </c>
      <c r="BZ29" s="108">
        <v>304</v>
      </c>
      <c r="CA29" s="108">
        <v>161</v>
      </c>
      <c r="CB29" s="128">
        <v>437</v>
      </c>
      <c r="CC29" s="108" t="s">
        <v>54</v>
      </c>
      <c r="CD29" s="108">
        <v>960</v>
      </c>
      <c r="CE29" s="108">
        <v>506</v>
      </c>
      <c r="CF29" s="128">
        <v>1257</v>
      </c>
      <c r="CG29" s="108"/>
      <c r="CH29" s="108">
        <v>256</v>
      </c>
      <c r="CI29" s="128">
        <v>684</v>
      </c>
      <c r="CJ29" s="128">
        <v>329</v>
      </c>
      <c r="CK29" s="110" t="s">
        <v>15</v>
      </c>
    </row>
    <row r="30" spans="1:97" s="94" customFormat="1" ht="23.25" customHeight="1" x14ac:dyDescent="0.4">
      <c r="A30" s="104" t="s">
        <v>16</v>
      </c>
      <c r="B30" s="105"/>
      <c r="C30" s="106">
        <v>4008</v>
      </c>
      <c r="D30" s="107">
        <v>4599</v>
      </c>
      <c r="E30" s="108">
        <v>6133</v>
      </c>
      <c r="F30" s="108">
        <v>6809</v>
      </c>
      <c r="G30" s="108">
        <v>6586</v>
      </c>
      <c r="H30" s="108">
        <v>265</v>
      </c>
      <c r="I30" s="108">
        <v>2232</v>
      </c>
      <c r="J30" s="128">
        <v>3572</v>
      </c>
      <c r="K30" s="123">
        <v>2558</v>
      </c>
      <c r="L30" s="107">
        <v>3061</v>
      </c>
      <c r="M30" s="108">
        <v>3061</v>
      </c>
      <c r="N30" s="108">
        <v>2840</v>
      </c>
      <c r="O30" s="108">
        <v>3490</v>
      </c>
      <c r="P30" s="108">
        <v>265</v>
      </c>
      <c r="Q30" s="108">
        <v>1245</v>
      </c>
      <c r="R30" s="128">
        <v>2481</v>
      </c>
      <c r="S30" s="108">
        <f>1522+56</f>
        <v>1578</v>
      </c>
      <c r="T30" s="107">
        <f>1416+36</f>
        <v>1452</v>
      </c>
      <c r="U30" s="108">
        <f>1402+35</f>
        <v>1437</v>
      </c>
      <c r="V30" s="108">
        <f>1457+30</f>
        <v>1487</v>
      </c>
      <c r="W30" s="108">
        <f>2191+37</f>
        <v>2228</v>
      </c>
      <c r="X30" s="108">
        <v>269</v>
      </c>
      <c r="Y30" s="108">
        <v>620</v>
      </c>
      <c r="Z30" s="128">
        <v>1536</v>
      </c>
      <c r="AA30" s="108">
        <v>5264</v>
      </c>
      <c r="AB30" s="107">
        <v>5926</v>
      </c>
      <c r="AC30" s="108">
        <v>6097</v>
      </c>
      <c r="AD30" s="108">
        <v>8400</v>
      </c>
      <c r="AE30" s="108">
        <v>10137</v>
      </c>
      <c r="AF30" s="108">
        <v>269</v>
      </c>
      <c r="AG30" s="108">
        <v>2263</v>
      </c>
      <c r="AH30" s="128">
        <v>4946</v>
      </c>
      <c r="AI30" s="108">
        <v>2024</v>
      </c>
      <c r="AJ30" s="107">
        <v>1685</v>
      </c>
      <c r="AK30" s="108">
        <v>1826</v>
      </c>
      <c r="AL30" s="108">
        <v>3305</v>
      </c>
      <c r="AM30" s="108">
        <v>4201</v>
      </c>
      <c r="AN30" s="108">
        <v>279</v>
      </c>
      <c r="AO30" s="108">
        <v>2197</v>
      </c>
      <c r="AP30" s="128">
        <v>4522</v>
      </c>
      <c r="AQ30" s="108">
        <v>286</v>
      </c>
      <c r="AR30" s="107">
        <f>444+16</f>
        <v>460</v>
      </c>
      <c r="AS30" s="108">
        <f>439+15</f>
        <v>454</v>
      </c>
      <c r="AT30" s="108">
        <f>344+9</f>
        <v>353</v>
      </c>
      <c r="AU30" s="108">
        <f>460+16</f>
        <v>476</v>
      </c>
      <c r="AV30" s="108">
        <v>32</v>
      </c>
      <c r="AW30" s="108">
        <v>53</v>
      </c>
      <c r="AX30" s="128">
        <v>174</v>
      </c>
      <c r="AY30" s="108" t="s">
        <v>54</v>
      </c>
      <c r="AZ30" s="107">
        <v>1866</v>
      </c>
      <c r="BA30" s="108">
        <v>2910</v>
      </c>
      <c r="BB30" s="108">
        <v>2201</v>
      </c>
      <c r="BC30" s="108">
        <v>3170</v>
      </c>
      <c r="BD30" s="108">
        <v>12</v>
      </c>
      <c r="BE30" s="108">
        <v>259</v>
      </c>
      <c r="BF30" s="128">
        <v>486</v>
      </c>
      <c r="BG30" s="108" t="s">
        <v>54</v>
      </c>
      <c r="BH30" s="108" t="s">
        <v>54</v>
      </c>
      <c r="BI30" s="108" t="s">
        <v>54</v>
      </c>
      <c r="BJ30" s="108">
        <v>1901</v>
      </c>
      <c r="BK30" s="108">
        <v>3499</v>
      </c>
      <c r="BL30" s="108">
        <v>65</v>
      </c>
      <c r="BM30" s="108">
        <v>2220</v>
      </c>
      <c r="BN30" s="128">
        <v>5575</v>
      </c>
      <c r="BO30" s="108" t="s">
        <v>54</v>
      </c>
      <c r="BP30" s="108" t="s">
        <v>54</v>
      </c>
      <c r="BQ30" s="108" t="s">
        <v>54</v>
      </c>
      <c r="BR30" s="108">
        <v>7663</v>
      </c>
      <c r="BS30" s="108">
        <v>8984</v>
      </c>
      <c r="BT30" s="108">
        <v>0</v>
      </c>
      <c r="BU30" s="108">
        <v>3723</v>
      </c>
      <c r="BV30" s="128">
        <v>4539</v>
      </c>
      <c r="BW30" s="108" t="s">
        <v>54</v>
      </c>
      <c r="BX30" s="108">
        <v>570</v>
      </c>
      <c r="BY30" s="128">
        <v>660</v>
      </c>
      <c r="BZ30" s="108">
        <v>42</v>
      </c>
      <c r="CA30" s="108">
        <v>100</v>
      </c>
      <c r="CB30" s="128">
        <v>280</v>
      </c>
      <c r="CC30" s="108" t="s">
        <v>54</v>
      </c>
      <c r="CD30" s="108">
        <v>200</v>
      </c>
      <c r="CE30" s="108">
        <v>538</v>
      </c>
      <c r="CF30" s="128">
        <v>875</v>
      </c>
      <c r="CG30" s="108"/>
      <c r="CH30" s="108">
        <v>209</v>
      </c>
      <c r="CI30" s="128">
        <v>449</v>
      </c>
      <c r="CJ30" s="128">
        <v>198</v>
      </c>
      <c r="CK30" s="110" t="s">
        <v>17</v>
      </c>
      <c r="CP30" s="64"/>
      <c r="CQ30" s="64"/>
      <c r="CR30" s="64"/>
      <c r="CS30" s="64"/>
    </row>
    <row r="31" spans="1:97" s="94" customFormat="1" ht="23.25" customHeight="1" x14ac:dyDescent="0.4">
      <c r="A31" s="104" t="s">
        <v>18</v>
      </c>
      <c r="B31" s="105"/>
      <c r="C31" s="106">
        <v>4399</v>
      </c>
      <c r="D31" s="107">
        <v>4391</v>
      </c>
      <c r="E31" s="108">
        <v>4797</v>
      </c>
      <c r="F31" s="108">
        <v>5048</v>
      </c>
      <c r="G31" s="108">
        <v>4920</v>
      </c>
      <c r="H31" s="108">
        <v>125</v>
      </c>
      <c r="I31" s="108">
        <v>1649</v>
      </c>
      <c r="J31" s="128">
        <v>4053</v>
      </c>
      <c r="K31" s="123">
        <v>2612</v>
      </c>
      <c r="L31" s="107">
        <v>3061</v>
      </c>
      <c r="M31" s="108">
        <v>2653</v>
      </c>
      <c r="N31" s="108">
        <v>2189</v>
      </c>
      <c r="O31" s="108">
        <v>2424</v>
      </c>
      <c r="P31" s="108">
        <v>125</v>
      </c>
      <c r="Q31" s="108">
        <v>802</v>
      </c>
      <c r="R31" s="128">
        <v>3616</v>
      </c>
      <c r="S31" s="108">
        <f>1490+33</f>
        <v>1523</v>
      </c>
      <c r="T31" s="107">
        <f>1340+48</f>
        <v>1388</v>
      </c>
      <c r="U31" s="108">
        <f>1465+39</f>
        <v>1504</v>
      </c>
      <c r="V31" s="108">
        <f>1318+30</f>
        <v>1348</v>
      </c>
      <c r="W31" s="108">
        <f>1290+17</f>
        <v>1307</v>
      </c>
      <c r="X31" s="108">
        <v>52</v>
      </c>
      <c r="Y31" s="108">
        <v>431</v>
      </c>
      <c r="Z31" s="128">
        <v>2804</v>
      </c>
      <c r="AA31" s="108">
        <v>6105</v>
      </c>
      <c r="AB31" s="107">
        <v>6433</v>
      </c>
      <c r="AC31" s="108">
        <v>6573</v>
      </c>
      <c r="AD31" s="108">
        <v>7163</v>
      </c>
      <c r="AE31" s="108">
        <v>9324</v>
      </c>
      <c r="AF31" s="108">
        <v>52</v>
      </c>
      <c r="AG31" s="108">
        <v>2364</v>
      </c>
      <c r="AH31" s="128">
        <v>6800</v>
      </c>
      <c r="AI31" s="108">
        <v>2329</v>
      </c>
      <c r="AJ31" s="107">
        <v>1769</v>
      </c>
      <c r="AK31" s="108">
        <v>1879</v>
      </c>
      <c r="AL31" s="108">
        <v>2606</v>
      </c>
      <c r="AM31" s="108">
        <v>2787</v>
      </c>
      <c r="AN31" s="108">
        <v>64</v>
      </c>
      <c r="AO31" s="108">
        <v>1371</v>
      </c>
      <c r="AP31" s="128">
        <v>4890</v>
      </c>
      <c r="AQ31" s="108">
        <f>407+12</f>
        <v>419</v>
      </c>
      <c r="AR31" s="107">
        <f>435+16</f>
        <v>451</v>
      </c>
      <c r="AS31" s="108">
        <f>480+11</f>
        <v>491</v>
      </c>
      <c r="AT31" s="108">
        <f>293+7</f>
        <v>300</v>
      </c>
      <c r="AU31" s="108">
        <f>233+10</f>
        <v>243</v>
      </c>
      <c r="AV31" s="108">
        <v>0</v>
      </c>
      <c r="AW31" s="108">
        <v>18</v>
      </c>
      <c r="AX31" s="128">
        <v>319</v>
      </c>
      <c r="AY31" s="108">
        <v>213</v>
      </c>
      <c r="AZ31" s="107">
        <v>980</v>
      </c>
      <c r="BA31" s="108">
        <v>2877</v>
      </c>
      <c r="BB31" s="108">
        <v>2456</v>
      </c>
      <c r="BC31" s="108">
        <v>3487</v>
      </c>
      <c r="BD31" s="108">
        <v>11</v>
      </c>
      <c r="BE31" s="108">
        <v>161</v>
      </c>
      <c r="BF31" s="128">
        <v>1158</v>
      </c>
      <c r="BG31" s="108" t="s">
        <v>54</v>
      </c>
      <c r="BH31" s="108" t="s">
        <v>54</v>
      </c>
      <c r="BI31" s="108" t="s">
        <v>54</v>
      </c>
      <c r="BJ31" s="108">
        <v>1481</v>
      </c>
      <c r="BK31" s="108">
        <f>2665+131+4+4</f>
        <v>2804</v>
      </c>
      <c r="BL31" s="108">
        <v>0</v>
      </c>
      <c r="BM31" s="108">
        <v>1533</v>
      </c>
      <c r="BN31" s="128">
        <v>5052</v>
      </c>
      <c r="BO31" s="108" t="s">
        <v>54</v>
      </c>
      <c r="BP31" s="108" t="s">
        <v>54</v>
      </c>
      <c r="BQ31" s="108" t="s">
        <v>54</v>
      </c>
      <c r="BR31" s="108">
        <v>7532</v>
      </c>
      <c r="BS31" s="108">
        <v>9481</v>
      </c>
      <c r="BT31" s="108">
        <v>0</v>
      </c>
      <c r="BU31" s="108">
        <v>3827</v>
      </c>
      <c r="BV31" s="128">
        <v>6547</v>
      </c>
      <c r="BW31" s="108" t="s">
        <v>54</v>
      </c>
      <c r="BX31" s="108">
        <v>283</v>
      </c>
      <c r="BY31" s="128">
        <v>1173</v>
      </c>
      <c r="BZ31" s="108">
        <v>4</v>
      </c>
      <c r="CA31" s="108">
        <v>71</v>
      </c>
      <c r="CB31" s="128">
        <v>421</v>
      </c>
      <c r="CC31" s="108" t="s">
        <v>54</v>
      </c>
      <c r="CD31" s="108">
        <v>50</v>
      </c>
      <c r="CE31" s="108">
        <v>250</v>
      </c>
      <c r="CF31" s="128">
        <v>1385</v>
      </c>
      <c r="CG31" s="108"/>
      <c r="CH31" s="108">
        <v>19</v>
      </c>
      <c r="CI31" s="128">
        <v>859</v>
      </c>
      <c r="CJ31" s="128">
        <v>666</v>
      </c>
      <c r="CK31" s="110" t="s">
        <v>19</v>
      </c>
    </row>
    <row r="32" spans="1:97" s="94" customFormat="1" ht="23.25" customHeight="1" x14ac:dyDescent="0.4">
      <c r="A32" s="104" t="s">
        <v>20</v>
      </c>
      <c r="B32" s="105"/>
      <c r="C32" s="106">
        <v>3702</v>
      </c>
      <c r="D32" s="107">
        <v>4301</v>
      </c>
      <c r="E32" s="108">
        <v>4274</v>
      </c>
      <c r="F32" s="108">
        <v>5287</v>
      </c>
      <c r="G32" s="108">
        <v>5700</v>
      </c>
      <c r="H32" s="108">
        <v>292</v>
      </c>
      <c r="I32" s="108">
        <v>1232</v>
      </c>
      <c r="J32" s="128">
        <v>3771</v>
      </c>
      <c r="K32" s="123">
        <v>2629</v>
      </c>
      <c r="L32" s="107">
        <v>2334</v>
      </c>
      <c r="M32" s="108">
        <v>2319</v>
      </c>
      <c r="N32" s="108">
        <v>2709</v>
      </c>
      <c r="O32" s="108">
        <v>2334</v>
      </c>
      <c r="P32" s="108">
        <v>292</v>
      </c>
      <c r="Q32" s="108">
        <v>990</v>
      </c>
      <c r="R32" s="128">
        <v>2990</v>
      </c>
      <c r="S32" s="108">
        <v>1279</v>
      </c>
      <c r="T32" s="107">
        <f>1226+30</f>
        <v>1256</v>
      </c>
      <c r="U32" s="108">
        <f>1485+50</f>
        <v>1535</v>
      </c>
      <c r="V32" s="108">
        <f>1564+48</f>
        <v>1612</v>
      </c>
      <c r="W32" s="108">
        <f>2167+58</f>
        <v>2225</v>
      </c>
      <c r="X32" s="108">
        <v>220</v>
      </c>
      <c r="Y32" s="108">
        <v>739</v>
      </c>
      <c r="Z32" s="128">
        <v>2111</v>
      </c>
      <c r="AA32" s="108">
        <v>5268</v>
      </c>
      <c r="AB32" s="107">
        <v>5222</v>
      </c>
      <c r="AC32" s="108">
        <v>6579</v>
      </c>
      <c r="AD32" s="108">
        <v>7245</v>
      </c>
      <c r="AE32" s="108">
        <v>10728</v>
      </c>
      <c r="AF32" s="108">
        <v>220</v>
      </c>
      <c r="AG32" s="108">
        <v>1829</v>
      </c>
      <c r="AH32" s="128">
        <v>5336</v>
      </c>
      <c r="AI32" s="108">
        <v>2173</v>
      </c>
      <c r="AJ32" s="107">
        <v>1400</v>
      </c>
      <c r="AK32" s="108">
        <v>1879</v>
      </c>
      <c r="AL32" s="108">
        <v>2980</v>
      </c>
      <c r="AM32" s="108">
        <v>3410</v>
      </c>
      <c r="AN32" s="108">
        <v>198</v>
      </c>
      <c r="AO32" s="108">
        <v>1419</v>
      </c>
      <c r="AP32" s="128">
        <v>4150</v>
      </c>
      <c r="AQ32" s="108">
        <f>378+10</f>
        <v>388</v>
      </c>
      <c r="AR32" s="107">
        <f>399+7</f>
        <v>406</v>
      </c>
      <c r="AS32" s="108">
        <f>436+13</f>
        <v>449</v>
      </c>
      <c r="AT32" s="108">
        <f>454+16</f>
        <v>470</v>
      </c>
      <c r="AU32" s="108">
        <f>481+19</f>
        <v>500</v>
      </c>
      <c r="AV32" s="108">
        <v>45</v>
      </c>
      <c r="AW32" s="108">
        <v>74</v>
      </c>
      <c r="AX32" s="128">
        <v>316</v>
      </c>
      <c r="AY32" s="108">
        <v>604</v>
      </c>
      <c r="AZ32" s="107">
        <v>1678</v>
      </c>
      <c r="BA32" s="108">
        <v>2600</v>
      </c>
      <c r="BB32" s="108">
        <v>2784</v>
      </c>
      <c r="BC32" s="108">
        <v>3706</v>
      </c>
      <c r="BD32" s="108">
        <v>69</v>
      </c>
      <c r="BE32" s="108">
        <v>206</v>
      </c>
      <c r="BF32" s="128">
        <v>868</v>
      </c>
      <c r="BG32" s="108" t="s">
        <v>54</v>
      </c>
      <c r="BH32" s="108" t="s">
        <v>54</v>
      </c>
      <c r="BI32" s="108" t="s">
        <v>54</v>
      </c>
      <c r="BJ32" s="108">
        <v>1377</v>
      </c>
      <c r="BK32" s="108">
        <f>4003+104</f>
        <v>4107</v>
      </c>
      <c r="BL32" s="108">
        <v>0</v>
      </c>
      <c r="BM32" s="108">
        <v>1734</v>
      </c>
      <c r="BN32" s="128">
        <v>4264</v>
      </c>
      <c r="BO32" s="108" t="s">
        <v>54</v>
      </c>
      <c r="BP32" s="108" t="s">
        <v>54</v>
      </c>
      <c r="BQ32" s="108" t="s">
        <v>54</v>
      </c>
      <c r="BR32" s="108">
        <v>7935</v>
      </c>
      <c r="BS32" s="108">
        <v>9775</v>
      </c>
      <c r="BT32" s="108">
        <v>0</v>
      </c>
      <c r="BU32" s="108">
        <v>3380</v>
      </c>
      <c r="BV32" s="128">
        <v>5723</v>
      </c>
      <c r="BW32" s="108" t="s">
        <v>54</v>
      </c>
      <c r="BX32" s="108">
        <v>285</v>
      </c>
      <c r="BY32" s="128">
        <v>944</v>
      </c>
      <c r="BZ32" s="108">
        <v>19</v>
      </c>
      <c r="CA32" s="108">
        <v>61</v>
      </c>
      <c r="CB32" s="128">
        <v>533</v>
      </c>
      <c r="CC32" s="108" t="s">
        <v>54</v>
      </c>
      <c r="CD32" s="108">
        <v>131</v>
      </c>
      <c r="CE32" s="108">
        <v>430</v>
      </c>
      <c r="CF32" s="128">
        <v>1345</v>
      </c>
      <c r="CG32" s="108"/>
      <c r="CH32" s="108">
        <v>183</v>
      </c>
      <c r="CI32" s="128">
        <v>797</v>
      </c>
      <c r="CJ32" s="128">
        <v>508</v>
      </c>
      <c r="CK32" s="110" t="s">
        <v>21</v>
      </c>
    </row>
    <row r="33" spans="1:97" s="94" customFormat="1" ht="23.25" customHeight="1" x14ac:dyDescent="0.4">
      <c r="A33" s="104" t="s">
        <v>22</v>
      </c>
      <c r="B33" s="105"/>
      <c r="C33" s="106">
        <v>4032</v>
      </c>
      <c r="D33" s="107">
        <v>6263</v>
      </c>
      <c r="E33" s="108">
        <v>5858</v>
      </c>
      <c r="F33" s="108">
        <v>5233</v>
      </c>
      <c r="G33" s="108">
        <v>5344</v>
      </c>
      <c r="H33" s="108">
        <v>587</v>
      </c>
      <c r="I33" s="108">
        <v>3066</v>
      </c>
      <c r="J33" s="128">
        <v>5204</v>
      </c>
      <c r="K33" s="123">
        <v>2597</v>
      </c>
      <c r="L33" s="107">
        <v>3338</v>
      </c>
      <c r="M33" s="108">
        <v>3427</v>
      </c>
      <c r="N33" s="108">
        <v>2730</v>
      </c>
      <c r="O33" s="108">
        <v>2730</v>
      </c>
      <c r="P33" s="108">
        <v>587</v>
      </c>
      <c r="Q33" s="108">
        <v>2205</v>
      </c>
      <c r="R33" s="128">
        <v>4681</v>
      </c>
      <c r="S33" s="108">
        <f>1413+47</f>
        <v>1460</v>
      </c>
      <c r="T33" s="107">
        <f>2132+44</f>
        <v>2176</v>
      </c>
      <c r="U33" s="108">
        <f>2019+58</f>
        <v>2077</v>
      </c>
      <c r="V33" s="108">
        <f>1662+41</f>
        <v>1703</v>
      </c>
      <c r="W33" s="108">
        <f>1601+36</f>
        <v>1637</v>
      </c>
      <c r="X33" s="108">
        <v>502</v>
      </c>
      <c r="Y33" s="108">
        <v>1592</v>
      </c>
      <c r="Z33" s="128">
        <v>2828</v>
      </c>
      <c r="AA33" s="108">
        <v>6427</v>
      </c>
      <c r="AB33" s="107">
        <v>7948</v>
      </c>
      <c r="AC33" s="108">
        <v>8432</v>
      </c>
      <c r="AD33" s="108">
        <v>9573</v>
      </c>
      <c r="AE33" s="108">
        <v>11193</v>
      </c>
      <c r="AF33" s="108">
        <v>502</v>
      </c>
      <c r="AG33" s="108">
        <v>4496</v>
      </c>
      <c r="AH33" s="128">
        <v>8180</v>
      </c>
      <c r="AI33" s="108">
        <v>2339</v>
      </c>
      <c r="AJ33" s="107">
        <v>2270</v>
      </c>
      <c r="AK33" s="108">
        <v>2081</v>
      </c>
      <c r="AL33" s="108">
        <v>3086</v>
      </c>
      <c r="AM33" s="108">
        <v>2973</v>
      </c>
      <c r="AN33" s="108">
        <v>289</v>
      </c>
      <c r="AO33" s="108">
        <v>3200</v>
      </c>
      <c r="AP33" s="128">
        <v>5313</v>
      </c>
      <c r="AQ33" s="108">
        <f>349+9</f>
        <v>358</v>
      </c>
      <c r="AR33" s="107">
        <f>653+21</f>
        <v>674</v>
      </c>
      <c r="AS33" s="108">
        <f>586+20</f>
        <v>606</v>
      </c>
      <c r="AT33" s="108">
        <v>451</v>
      </c>
      <c r="AU33" s="108">
        <f>416+20</f>
        <v>436</v>
      </c>
      <c r="AV33" s="108">
        <v>62</v>
      </c>
      <c r="AW33" s="108">
        <v>234</v>
      </c>
      <c r="AX33" s="128">
        <v>597</v>
      </c>
      <c r="AY33" s="108">
        <v>746</v>
      </c>
      <c r="AZ33" s="107">
        <v>2533</v>
      </c>
      <c r="BA33" s="108">
        <v>2953</v>
      </c>
      <c r="BB33" s="108">
        <v>3204</v>
      </c>
      <c r="BC33" s="108">
        <v>3772</v>
      </c>
      <c r="BD33" s="108">
        <v>62</v>
      </c>
      <c r="BE33" s="108">
        <v>653</v>
      </c>
      <c r="BF33" s="128">
        <v>1605</v>
      </c>
      <c r="BG33" s="108" t="s">
        <v>54</v>
      </c>
      <c r="BH33" s="108" t="s">
        <v>54</v>
      </c>
      <c r="BI33" s="108" t="s">
        <v>54</v>
      </c>
      <c r="BJ33" s="108">
        <v>1596</v>
      </c>
      <c r="BK33" s="108">
        <f>56+4168</f>
        <v>4224</v>
      </c>
      <c r="BL33" s="108">
        <v>4</v>
      </c>
      <c r="BM33" s="108">
        <v>3910</v>
      </c>
      <c r="BN33" s="128">
        <v>6260</v>
      </c>
      <c r="BO33" s="108" t="s">
        <v>54</v>
      </c>
      <c r="BP33" s="108" t="s">
        <v>54</v>
      </c>
      <c r="BQ33" s="108" t="s">
        <v>54</v>
      </c>
      <c r="BR33" s="108">
        <v>8826</v>
      </c>
      <c r="BS33" s="108">
        <v>8703</v>
      </c>
      <c r="BT33" s="108">
        <v>0</v>
      </c>
      <c r="BU33" s="108">
        <v>4614</v>
      </c>
      <c r="BV33" s="128">
        <v>6010</v>
      </c>
      <c r="BW33" s="108">
        <v>111</v>
      </c>
      <c r="BX33" s="108">
        <v>1049</v>
      </c>
      <c r="BY33" s="128">
        <v>1166</v>
      </c>
      <c r="BZ33" s="108">
        <v>70</v>
      </c>
      <c r="CA33" s="108">
        <v>323</v>
      </c>
      <c r="CB33" s="128">
        <v>497</v>
      </c>
      <c r="CC33" s="108" t="s">
        <v>54</v>
      </c>
      <c r="CD33" s="108">
        <v>450</v>
      </c>
      <c r="CE33" s="108">
        <v>992</v>
      </c>
      <c r="CF33" s="128">
        <v>1869</v>
      </c>
      <c r="CG33" s="108"/>
      <c r="CH33" s="108">
        <v>483</v>
      </c>
      <c r="CI33" s="128">
        <v>1276</v>
      </c>
      <c r="CJ33" s="128">
        <v>1166</v>
      </c>
      <c r="CK33" s="110" t="s">
        <v>23</v>
      </c>
      <c r="CP33" s="64"/>
      <c r="CQ33" s="64"/>
      <c r="CR33" s="64"/>
      <c r="CS33" s="64"/>
    </row>
    <row r="34" spans="1:97" s="94" customFormat="1" ht="23.25" customHeight="1" x14ac:dyDescent="0.4">
      <c r="A34" s="104" t="s">
        <v>24</v>
      </c>
      <c r="B34" s="105"/>
      <c r="C34" s="106">
        <v>5016</v>
      </c>
      <c r="D34" s="107">
        <v>6641</v>
      </c>
      <c r="E34" s="108">
        <v>6129</v>
      </c>
      <c r="F34" s="108">
        <v>6821</v>
      </c>
      <c r="G34" s="108">
        <v>7288</v>
      </c>
      <c r="H34" s="108">
        <v>267</v>
      </c>
      <c r="I34" s="108">
        <v>3854</v>
      </c>
      <c r="J34" s="128">
        <v>4524</v>
      </c>
      <c r="K34" s="123">
        <v>3151</v>
      </c>
      <c r="L34" s="107">
        <v>3287</v>
      </c>
      <c r="M34" s="108">
        <v>3048</v>
      </c>
      <c r="N34" s="108">
        <v>3635</v>
      </c>
      <c r="O34" s="108">
        <v>4746</v>
      </c>
      <c r="P34" s="108">
        <v>267</v>
      </c>
      <c r="Q34" s="108">
        <v>2970</v>
      </c>
      <c r="R34" s="128">
        <v>4056</v>
      </c>
      <c r="S34" s="108">
        <f>1426+41</f>
        <v>1467</v>
      </c>
      <c r="T34" s="107">
        <f>1532+48</f>
        <v>1580</v>
      </c>
      <c r="U34" s="108">
        <f>1416+41</f>
        <v>1457</v>
      </c>
      <c r="V34" s="108">
        <f>1939+56</f>
        <v>1995</v>
      </c>
      <c r="W34" s="108">
        <f>2088+41</f>
        <v>2129</v>
      </c>
      <c r="X34" s="108">
        <v>344</v>
      </c>
      <c r="Y34" s="108">
        <v>2031</v>
      </c>
      <c r="Z34" s="128">
        <v>1944</v>
      </c>
      <c r="AA34" s="108">
        <v>7050</v>
      </c>
      <c r="AB34" s="107">
        <v>7702</v>
      </c>
      <c r="AC34" s="108">
        <v>9067</v>
      </c>
      <c r="AD34" s="108">
        <v>11871</v>
      </c>
      <c r="AE34" s="108">
        <v>14056</v>
      </c>
      <c r="AF34" s="108">
        <v>344</v>
      </c>
      <c r="AG34" s="108">
        <v>5239</v>
      </c>
      <c r="AH34" s="128">
        <v>6555</v>
      </c>
      <c r="AI34" s="108">
        <v>2756</v>
      </c>
      <c r="AJ34" s="107">
        <v>1692</v>
      </c>
      <c r="AK34" s="108">
        <v>2550</v>
      </c>
      <c r="AL34" s="108">
        <v>3624</v>
      </c>
      <c r="AM34" s="108">
        <v>4509</v>
      </c>
      <c r="AN34" s="108">
        <v>467</v>
      </c>
      <c r="AO34" s="108">
        <v>3998</v>
      </c>
      <c r="AP34" s="128">
        <v>6471</v>
      </c>
      <c r="AQ34" s="108">
        <f>509+18</f>
        <v>527</v>
      </c>
      <c r="AR34" s="107">
        <f>409+10</f>
        <v>419</v>
      </c>
      <c r="AS34" s="108">
        <f>494+12</f>
        <v>506</v>
      </c>
      <c r="AT34" s="108">
        <v>579</v>
      </c>
      <c r="AU34" s="108">
        <f>636+26</f>
        <v>662</v>
      </c>
      <c r="AV34" s="108">
        <v>32</v>
      </c>
      <c r="AW34" s="108">
        <v>182</v>
      </c>
      <c r="AX34" s="128">
        <v>380</v>
      </c>
      <c r="AY34" s="108">
        <v>918</v>
      </c>
      <c r="AZ34" s="107">
        <v>2711</v>
      </c>
      <c r="BA34" s="108">
        <v>3106</v>
      </c>
      <c r="BB34" s="108">
        <v>3436</v>
      </c>
      <c r="BC34" s="108">
        <v>3942</v>
      </c>
      <c r="BD34" s="108">
        <v>68</v>
      </c>
      <c r="BE34" s="108">
        <v>729</v>
      </c>
      <c r="BF34" s="128">
        <v>1051</v>
      </c>
      <c r="BG34" s="108" t="s">
        <v>54</v>
      </c>
      <c r="BH34" s="108" t="s">
        <v>54</v>
      </c>
      <c r="BI34" s="108" t="s">
        <v>54</v>
      </c>
      <c r="BJ34" s="108">
        <v>2130</v>
      </c>
      <c r="BK34" s="108">
        <f>206+5249</f>
        <v>5455</v>
      </c>
      <c r="BL34" s="108">
        <v>11</v>
      </c>
      <c r="BM34" s="108">
        <v>4199</v>
      </c>
      <c r="BN34" s="128">
        <v>4997</v>
      </c>
      <c r="BO34" s="108" t="s">
        <v>54</v>
      </c>
      <c r="BP34" s="108" t="s">
        <v>54</v>
      </c>
      <c r="BQ34" s="108" t="s">
        <v>54</v>
      </c>
      <c r="BR34" s="108">
        <v>10293</v>
      </c>
      <c r="BS34" s="108">
        <v>10249</v>
      </c>
      <c r="BT34" s="108">
        <v>0</v>
      </c>
      <c r="BU34" s="108">
        <v>4668</v>
      </c>
      <c r="BV34" s="128">
        <v>5583</v>
      </c>
      <c r="BW34" s="108">
        <v>112</v>
      </c>
      <c r="BX34" s="108">
        <v>1136</v>
      </c>
      <c r="BY34" s="128">
        <v>823</v>
      </c>
      <c r="BZ34" s="108">
        <v>68</v>
      </c>
      <c r="CA34" s="108">
        <v>413</v>
      </c>
      <c r="CB34" s="128">
        <v>692</v>
      </c>
      <c r="CC34" s="108">
        <v>439</v>
      </c>
      <c r="CD34" s="108">
        <v>411</v>
      </c>
      <c r="CE34" s="108">
        <v>1093</v>
      </c>
      <c r="CF34" s="128">
        <v>1474</v>
      </c>
      <c r="CG34" s="108"/>
      <c r="CH34" s="108">
        <v>1015</v>
      </c>
      <c r="CI34" s="128">
        <v>969</v>
      </c>
      <c r="CJ34" s="128">
        <v>1004</v>
      </c>
      <c r="CK34" s="110" t="s">
        <v>25</v>
      </c>
    </row>
    <row r="35" spans="1:97" s="94" customFormat="1" ht="23.25" customHeight="1" x14ac:dyDescent="0.4">
      <c r="A35" s="104" t="s">
        <v>26</v>
      </c>
      <c r="B35" s="105"/>
      <c r="C35" s="106">
        <f>4541+60</f>
        <v>4601</v>
      </c>
      <c r="D35" s="107">
        <v>6347</v>
      </c>
      <c r="E35" s="108">
        <v>5642</v>
      </c>
      <c r="F35" s="108">
        <v>6040</v>
      </c>
      <c r="G35" s="108">
        <v>5194</v>
      </c>
      <c r="H35" s="108">
        <v>265</v>
      </c>
      <c r="I35" s="108">
        <v>3083</v>
      </c>
      <c r="J35" s="128">
        <v>3583</v>
      </c>
      <c r="K35" s="123">
        <v>2957</v>
      </c>
      <c r="L35" s="107">
        <v>3832</v>
      </c>
      <c r="M35" s="108">
        <v>3690</v>
      </c>
      <c r="N35" s="108">
        <v>3447</v>
      </c>
      <c r="O35" s="108">
        <v>3046</v>
      </c>
      <c r="P35" s="108">
        <v>265</v>
      </c>
      <c r="Q35" s="108">
        <v>2129</v>
      </c>
      <c r="R35" s="128">
        <v>3436</v>
      </c>
      <c r="S35" s="108">
        <f>1544+48</f>
        <v>1592</v>
      </c>
      <c r="T35" s="107">
        <f>1726+51</f>
        <v>1777</v>
      </c>
      <c r="U35" s="108">
        <f>1720+49</f>
        <v>1769</v>
      </c>
      <c r="V35" s="108">
        <f>1715+49</f>
        <v>1764</v>
      </c>
      <c r="W35" s="108">
        <f>1725+31</f>
        <v>1756</v>
      </c>
      <c r="X35" s="108">
        <v>384</v>
      </c>
      <c r="Y35" s="108">
        <v>1580</v>
      </c>
      <c r="Z35" s="128">
        <v>1652</v>
      </c>
      <c r="AA35" s="108">
        <v>7108</v>
      </c>
      <c r="AB35" s="107">
        <v>7927</v>
      </c>
      <c r="AC35" s="108">
        <v>9760</v>
      </c>
      <c r="AD35" s="108">
        <v>8970</v>
      </c>
      <c r="AE35" s="108">
        <v>9834</v>
      </c>
      <c r="AF35" s="108">
        <v>384</v>
      </c>
      <c r="AG35" s="108">
        <v>4396</v>
      </c>
      <c r="AH35" s="128">
        <v>5487</v>
      </c>
      <c r="AI35" s="108">
        <v>2387</v>
      </c>
      <c r="AJ35" s="107">
        <v>1775</v>
      </c>
      <c r="AK35" s="108">
        <v>2871</v>
      </c>
      <c r="AL35" s="108">
        <v>3220</v>
      </c>
      <c r="AM35" s="108">
        <v>3435</v>
      </c>
      <c r="AN35" s="108">
        <v>447</v>
      </c>
      <c r="AO35" s="108">
        <v>3303</v>
      </c>
      <c r="AP35" s="128">
        <v>3782</v>
      </c>
      <c r="AQ35" s="108">
        <v>585</v>
      </c>
      <c r="AR35" s="107">
        <f>624+26</f>
        <v>650</v>
      </c>
      <c r="AS35" s="108">
        <f>711+18</f>
        <v>729</v>
      </c>
      <c r="AT35" s="108">
        <v>473</v>
      </c>
      <c r="AU35" s="108">
        <v>327</v>
      </c>
      <c r="AV35" s="108">
        <v>62</v>
      </c>
      <c r="AW35" s="108">
        <v>200</v>
      </c>
      <c r="AX35" s="128">
        <v>322</v>
      </c>
      <c r="AY35" s="108">
        <v>1156</v>
      </c>
      <c r="AZ35" s="107">
        <v>2416</v>
      </c>
      <c r="BA35" s="108">
        <v>3303</v>
      </c>
      <c r="BB35" s="108">
        <v>2886</v>
      </c>
      <c r="BC35" s="108">
        <v>3490</v>
      </c>
      <c r="BD35" s="108">
        <v>119</v>
      </c>
      <c r="BE35" s="108">
        <v>437</v>
      </c>
      <c r="BF35" s="128">
        <v>775</v>
      </c>
      <c r="BG35" s="108" t="s">
        <v>54</v>
      </c>
      <c r="BH35" s="108" t="s">
        <v>54</v>
      </c>
      <c r="BI35" s="108" t="s">
        <v>54</v>
      </c>
      <c r="BJ35" s="108">
        <v>1700</v>
      </c>
      <c r="BK35" s="108">
        <f>4607+50</f>
        <v>4657</v>
      </c>
      <c r="BL35" s="108">
        <v>68</v>
      </c>
      <c r="BM35" s="108">
        <v>3266</v>
      </c>
      <c r="BN35" s="128">
        <v>3964</v>
      </c>
      <c r="BO35" s="108" t="s">
        <v>54</v>
      </c>
      <c r="BP35" s="108" t="s">
        <v>54</v>
      </c>
      <c r="BQ35" s="108" t="s">
        <v>54</v>
      </c>
      <c r="BR35" s="108">
        <v>8103</v>
      </c>
      <c r="BS35" s="108">
        <v>9781</v>
      </c>
      <c r="BT35" s="108">
        <v>0</v>
      </c>
      <c r="BU35" s="108">
        <v>4596</v>
      </c>
      <c r="BV35" s="128">
        <v>7226</v>
      </c>
      <c r="BW35" s="108">
        <v>107</v>
      </c>
      <c r="BX35" s="108">
        <v>678</v>
      </c>
      <c r="BY35" s="128">
        <v>546</v>
      </c>
      <c r="BZ35" s="108">
        <v>75</v>
      </c>
      <c r="CA35" s="108">
        <v>278</v>
      </c>
      <c r="CB35" s="128">
        <v>446</v>
      </c>
      <c r="CC35" s="108">
        <v>576</v>
      </c>
      <c r="CD35" s="108">
        <v>289</v>
      </c>
      <c r="CE35" s="108">
        <v>1095</v>
      </c>
      <c r="CF35" s="128">
        <v>1194</v>
      </c>
      <c r="CG35" s="108"/>
      <c r="CH35" s="108">
        <v>456</v>
      </c>
      <c r="CI35" s="128">
        <v>767</v>
      </c>
      <c r="CJ35" s="128">
        <v>980</v>
      </c>
      <c r="CK35" s="110" t="s">
        <v>27</v>
      </c>
    </row>
    <row r="36" spans="1:97" s="94" customFormat="1" ht="23.25" customHeight="1" x14ac:dyDescent="0.4">
      <c r="A36" s="104" t="s">
        <v>28</v>
      </c>
      <c r="B36" s="105"/>
      <c r="C36" s="106">
        <f>4899+41</f>
        <v>4940</v>
      </c>
      <c r="D36" s="107">
        <v>7106</v>
      </c>
      <c r="E36" s="108">
        <v>6460</v>
      </c>
      <c r="F36" s="108">
        <v>6151</v>
      </c>
      <c r="G36" s="108">
        <v>5024</v>
      </c>
      <c r="H36" s="108">
        <v>683</v>
      </c>
      <c r="I36" s="108">
        <v>3780</v>
      </c>
      <c r="J36" s="128">
        <v>4219</v>
      </c>
      <c r="K36" s="123">
        <v>2560</v>
      </c>
      <c r="L36" s="107">
        <v>2163</v>
      </c>
      <c r="M36" s="108">
        <v>2385</v>
      </c>
      <c r="N36" s="108">
        <v>2225</v>
      </c>
      <c r="O36" s="108">
        <v>2701</v>
      </c>
      <c r="P36" s="108">
        <v>683</v>
      </c>
      <c r="Q36" s="108">
        <v>2839</v>
      </c>
      <c r="R36" s="128">
        <v>3530</v>
      </c>
      <c r="S36" s="108">
        <f>1165+41</f>
        <v>1206</v>
      </c>
      <c r="T36" s="107">
        <f>1443+33</f>
        <v>1476</v>
      </c>
      <c r="U36" s="108">
        <f>1341+32</f>
        <v>1373</v>
      </c>
      <c r="V36" s="108">
        <f>1326+31</f>
        <v>1357</v>
      </c>
      <c r="W36" s="108">
        <f>1437+27</f>
        <v>1464</v>
      </c>
      <c r="X36" s="108">
        <v>443</v>
      </c>
      <c r="Y36" s="108">
        <v>1857</v>
      </c>
      <c r="Z36" s="128">
        <v>2055</v>
      </c>
      <c r="AA36" s="108">
        <v>6195</v>
      </c>
      <c r="AB36" s="107">
        <v>6700</v>
      </c>
      <c r="AC36" s="108">
        <v>8980</v>
      </c>
      <c r="AD36" s="108">
        <v>9892</v>
      </c>
      <c r="AE36" s="108">
        <v>10648</v>
      </c>
      <c r="AF36" s="108">
        <v>443</v>
      </c>
      <c r="AG36" s="108">
        <v>5340</v>
      </c>
      <c r="AH36" s="128">
        <v>6744</v>
      </c>
      <c r="AI36" s="108">
        <v>3277</v>
      </c>
      <c r="AJ36" s="107">
        <v>1787</v>
      </c>
      <c r="AK36" s="108">
        <v>2816</v>
      </c>
      <c r="AL36" s="108">
        <v>3079</v>
      </c>
      <c r="AM36" s="108">
        <v>4013</v>
      </c>
      <c r="AN36" s="108">
        <v>923</v>
      </c>
      <c r="AO36" s="108">
        <v>4079</v>
      </c>
      <c r="AP36" s="128">
        <v>4899</v>
      </c>
      <c r="AQ36" s="108">
        <f>377+16</f>
        <v>393</v>
      </c>
      <c r="AR36" s="107">
        <f>377+11</f>
        <v>388</v>
      </c>
      <c r="AS36" s="108">
        <f>494+12</f>
        <v>506</v>
      </c>
      <c r="AT36" s="108">
        <f>344+13</f>
        <v>357</v>
      </c>
      <c r="AU36" s="108">
        <f>331+9</f>
        <v>340</v>
      </c>
      <c r="AV36" s="108">
        <v>129</v>
      </c>
      <c r="AW36" s="108">
        <v>458</v>
      </c>
      <c r="AX36" s="128">
        <v>330</v>
      </c>
      <c r="AY36" s="108">
        <v>1500</v>
      </c>
      <c r="AZ36" s="107">
        <v>2346</v>
      </c>
      <c r="BA36" s="108">
        <v>3060</v>
      </c>
      <c r="BB36" s="108">
        <v>3420</v>
      </c>
      <c r="BC36" s="108">
        <v>3769</v>
      </c>
      <c r="BD36" s="108">
        <v>170</v>
      </c>
      <c r="BE36" s="108">
        <v>609</v>
      </c>
      <c r="BF36" s="128">
        <v>991</v>
      </c>
      <c r="BG36" s="108" t="s">
        <v>54</v>
      </c>
      <c r="BH36" s="108" t="s">
        <v>54</v>
      </c>
      <c r="BI36" s="108">
        <v>1551</v>
      </c>
      <c r="BJ36" s="108">
        <v>1824</v>
      </c>
      <c r="BK36" s="108">
        <f>81+5344</f>
        <v>5425</v>
      </c>
      <c r="BL36" s="108">
        <v>145</v>
      </c>
      <c r="BM36" s="108">
        <v>4924</v>
      </c>
      <c r="BN36" s="128">
        <v>5053</v>
      </c>
      <c r="BO36" s="108" t="s">
        <v>54</v>
      </c>
      <c r="BP36" s="108" t="s">
        <v>54</v>
      </c>
      <c r="BQ36" s="108" t="s">
        <v>54</v>
      </c>
      <c r="BR36" s="108">
        <v>8660</v>
      </c>
      <c r="BS36" s="108">
        <v>8204</v>
      </c>
      <c r="BT36" s="108">
        <v>926</v>
      </c>
      <c r="BU36" s="108">
        <v>4937</v>
      </c>
      <c r="BV36" s="128">
        <v>5581</v>
      </c>
      <c r="BW36" s="108">
        <v>149</v>
      </c>
      <c r="BX36" s="108">
        <v>830</v>
      </c>
      <c r="BY36" s="128">
        <v>702</v>
      </c>
      <c r="BZ36" s="108">
        <v>57</v>
      </c>
      <c r="CA36" s="108">
        <v>410</v>
      </c>
      <c r="CB36" s="128">
        <v>557</v>
      </c>
      <c r="CC36" s="108">
        <v>720</v>
      </c>
      <c r="CD36" s="108">
        <v>22</v>
      </c>
      <c r="CE36" s="108">
        <v>1349</v>
      </c>
      <c r="CF36" s="128">
        <v>1277</v>
      </c>
      <c r="CG36" s="108"/>
      <c r="CH36" s="108">
        <v>666</v>
      </c>
      <c r="CI36" s="128">
        <v>1072</v>
      </c>
      <c r="CJ36" s="128">
        <v>1089</v>
      </c>
      <c r="CK36" s="110" t="s">
        <v>29</v>
      </c>
      <c r="CP36" s="64"/>
      <c r="CQ36" s="64"/>
      <c r="CR36" s="64"/>
      <c r="CS36" s="64"/>
    </row>
    <row r="37" spans="1:97" s="94" customFormat="1" ht="23.25" customHeight="1" x14ac:dyDescent="0.4">
      <c r="A37" s="104" t="s">
        <v>30</v>
      </c>
      <c r="B37" s="105"/>
      <c r="C37" s="106">
        <f>4416+89</f>
        <v>4505</v>
      </c>
      <c r="D37" s="107">
        <v>6710</v>
      </c>
      <c r="E37" s="108">
        <v>6496</v>
      </c>
      <c r="F37" s="108">
        <v>6605</v>
      </c>
      <c r="G37" s="108">
        <v>6260</v>
      </c>
      <c r="H37" s="108">
        <v>1115</v>
      </c>
      <c r="I37" s="108">
        <v>3528</v>
      </c>
      <c r="J37" s="128">
        <v>3699</v>
      </c>
      <c r="K37" s="123">
        <v>3245</v>
      </c>
      <c r="L37" s="107">
        <v>3883</v>
      </c>
      <c r="M37" s="108">
        <v>3517</v>
      </c>
      <c r="N37" s="108">
        <v>2957</v>
      </c>
      <c r="O37" s="108">
        <v>3686</v>
      </c>
      <c r="P37" s="108">
        <v>1115</v>
      </c>
      <c r="Q37" s="108">
        <v>2825</v>
      </c>
      <c r="R37" s="128">
        <v>3059</v>
      </c>
      <c r="S37" s="108">
        <f>1690+59</f>
        <v>1749</v>
      </c>
      <c r="T37" s="107">
        <f>2131+56</f>
        <v>2187</v>
      </c>
      <c r="U37" s="108">
        <f>1868+46</f>
        <v>1914</v>
      </c>
      <c r="V37" s="108">
        <f>2047+57</f>
        <v>2104</v>
      </c>
      <c r="W37" s="108">
        <f>2125+65</f>
        <v>2190</v>
      </c>
      <c r="X37" s="108">
        <v>677</v>
      </c>
      <c r="Y37" s="108">
        <v>1657</v>
      </c>
      <c r="Z37" s="128">
        <v>1774</v>
      </c>
      <c r="AA37" s="108">
        <v>5760</v>
      </c>
      <c r="AB37" s="107">
        <v>7348</v>
      </c>
      <c r="AC37" s="108">
        <v>8813</v>
      </c>
      <c r="AD37" s="108">
        <v>8806</v>
      </c>
      <c r="AE37" s="108">
        <v>10569</v>
      </c>
      <c r="AF37" s="108">
        <v>677</v>
      </c>
      <c r="AG37" s="108">
        <v>5843</v>
      </c>
      <c r="AH37" s="128">
        <v>5328</v>
      </c>
      <c r="AI37" s="108">
        <v>2775</v>
      </c>
      <c r="AJ37" s="107">
        <v>2193</v>
      </c>
      <c r="AK37" s="108">
        <v>3394</v>
      </c>
      <c r="AL37" s="108">
        <v>3720</v>
      </c>
      <c r="AM37" s="108">
        <v>4743</v>
      </c>
      <c r="AN37" s="108">
        <v>1146</v>
      </c>
      <c r="AO37" s="108">
        <v>4600</v>
      </c>
      <c r="AP37" s="128">
        <v>4396</v>
      </c>
      <c r="AQ37" s="108">
        <f>482+18</f>
        <v>500</v>
      </c>
      <c r="AR37" s="107">
        <f>683+20</f>
        <v>703</v>
      </c>
      <c r="AS37" s="108">
        <f>494+12</f>
        <v>506</v>
      </c>
      <c r="AT37" s="108">
        <f>423+12</f>
        <v>435</v>
      </c>
      <c r="AU37" s="108">
        <f>447+14</f>
        <v>461</v>
      </c>
      <c r="AV37" s="108">
        <v>125</v>
      </c>
      <c r="AW37" s="108">
        <v>237</v>
      </c>
      <c r="AX37" s="128">
        <v>621</v>
      </c>
      <c r="AY37" s="108">
        <v>2046</v>
      </c>
      <c r="AZ37" s="107">
        <v>2418</v>
      </c>
      <c r="BA37" s="108">
        <v>2992</v>
      </c>
      <c r="BB37" s="108">
        <v>3615</v>
      </c>
      <c r="BC37" s="108">
        <v>3447</v>
      </c>
      <c r="BD37" s="108">
        <v>113</v>
      </c>
      <c r="BE37" s="108">
        <v>793</v>
      </c>
      <c r="BF37" s="128">
        <v>603</v>
      </c>
      <c r="BG37" s="108" t="s">
        <v>54</v>
      </c>
      <c r="BH37" s="108" t="s">
        <v>54</v>
      </c>
      <c r="BI37" s="108">
        <v>2647</v>
      </c>
      <c r="BJ37" s="108">
        <v>1971</v>
      </c>
      <c r="BK37" s="108">
        <f>96+6611</f>
        <v>6707</v>
      </c>
      <c r="BL37" s="108">
        <v>345</v>
      </c>
      <c r="BM37" s="108">
        <v>5329</v>
      </c>
      <c r="BN37" s="128">
        <v>5125</v>
      </c>
      <c r="BO37" s="108" t="s">
        <v>54</v>
      </c>
      <c r="BP37" s="108" t="s">
        <v>54</v>
      </c>
      <c r="BQ37" s="108" t="s">
        <v>54</v>
      </c>
      <c r="BR37" s="108">
        <v>9107</v>
      </c>
      <c r="BS37" s="108">
        <v>8499</v>
      </c>
      <c r="BT37" s="108">
        <v>1363</v>
      </c>
      <c r="BU37" s="108">
        <v>5200</v>
      </c>
      <c r="BV37" s="128">
        <v>5511</v>
      </c>
      <c r="BW37" s="108">
        <v>278</v>
      </c>
      <c r="BX37" s="108">
        <v>515</v>
      </c>
      <c r="BY37" s="128">
        <v>729</v>
      </c>
      <c r="BZ37" s="108">
        <v>90</v>
      </c>
      <c r="CA37" s="108">
        <v>301</v>
      </c>
      <c r="CB37" s="128">
        <v>403</v>
      </c>
      <c r="CC37" s="108">
        <v>1431</v>
      </c>
      <c r="CD37" s="108">
        <v>595</v>
      </c>
      <c r="CE37" s="108">
        <v>1114</v>
      </c>
      <c r="CF37" s="128">
        <v>1340</v>
      </c>
      <c r="CG37" s="108">
        <v>219</v>
      </c>
      <c r="CH37" s="108">
        <v>524</v>
      </c>
      <c r="CI37" s="128">
        <v>1014</v>
      </c>
      <c r="CJ37" s="128">
        <v>872</v>
      </c>
      <c r="CK37" s="110" t="s">
        <v>31</v>
      </c>
    </row>
    <row r="38" spans="1:97" s="94" customFormat="1" ht="23.25" customHeight="1" x14ac:dyDescent="0.4">
      <c r="A38" s="111" t="s">
        <v>32</v>
      </c>
      <c r="B38" s="112"/>
      <c r="C38" s="113">
        <f>5291+123</f>
        <v>5414</v>
      </c>
      <c r="D38" s="114">
        <v>6970</v>
      </c>
      <c r="E38" s="115">
        <v>7444</v>
      </c>
      <c r="F38" s="115">
        <v>7111</v>
      </c>
      <c r="G38" s="115">
        <v>6885</v>
      </c>
      <c r="H38" s="115">
        <v>2302</v>
      </c>
      <c r="I38" s="115">
        <v>4946</v>
      </c>
      <c r="J38" s="130">
        <v>4822</v>
      </c>
      <c r="K38" s="124">
        <v>3954</v>
      </c>
      <c r="L38" s="114">
        <v>4006</v>
      </c>
      <c r="M38" s="115">
        <v>4130</v>
      </c>
      <c r="N38" s="115">
        <v>3713</v>
      </c>
      <c r="O38" s="115">
        <v>4605</v>
      </c>
      <c r="P38" s="115">
        <v>2302</v>
      </c>
      <c r="Q38" s="115">
        <v>4019</v>
      </c>
      <c r="R38" s="130">
        <v>4463</v>
      </c>
      <c r="S38" s="115">
        <f>2382+68</f>
        <v>2450</v>
      </c>
      <c r="T38" s="114">
        <f>2187+56</f>
        <v>2243</v>
      </c>
      <c r="U38" s="115">
        <f>2041+62</f>
        <v>2103</v>
      </c>
      <c r="V38" s="115">
        <f>2747+82</f>
        <v>2829</v>
      </c>
      <c r="W38" s="115">
        <f>2412+80</f>
        <v>2492</v>
      </c>
      <c r="X38" s="115">
        <v>1384</v>
      </c>
      <c r="Y38" s="115">
        <v>2305</v>
      </c>
      <c r="Z38" s="130">
        <v>2494</v>
      </c>
      <c r="AA38" s="115">
        <v>6584</v>
      </c>
      <c r="AB38" s="114">
        <v>7576</v>
      </c>
      <c r="AC38" s="115">
        <v>10154</v>
      </c>
      <c r="AD38" s="115">
        <v>9057</v>
      </c>
      <c r="AE38" s="115">
        <v>12645</v>
      </c>
      <c r="AF38" s="115">
        <v>1384</v>
      </c>
      <c r="AG38" s="115">
        <v>5818</v>
      </c>
      <c r="AH38" s="130">
        <v>5558</v>
      </c>
      <c r="AI38" s="115">
        <v>3107</v>
      </c>
      <c r="AJ38" s="114">
        <v>2924</v>
      </c>
      <c r="AK38" s="115">
        <v>10449</v>
      </c>
      <c r="AL38" s="115">
        <v>4439</v>
      </c>
      <c r="AM38" s="115">
        <v>5743</v>
      </c>
      <c r="AN38" s="115">
        <v>2351</v>
      </c>
      <c r="AO38" s="115">
        <v>5087</v>
      </c>
      <c r="AP38" s="130">
        <v>5435</v>
      </c>
      <c r="AQ38" s="115">
        <f>609+14</f>
        <v>623</v>
      </c>
      <c r="AR38" s="114">
        <f>740+31</f>
        <v>771</v>
      </c>
      <c r="AS38" s="115">
        <f>494+12</f>
        <v>506</v>
      </c>
      <c r="AT38" s="115">
        <v>557</v>
      </c>
      <c r="AU38" s="115">
        <v>422</v>
      </c>
      <c r="AV38" s="115">
        <v>147</v>
      </c>
      <c r="AW38" s="115">
        <v>388</v>
      </c>
      <c r="AX38" s="130">
        <v>278</v>
      </c>
      <c r="AY38" s="115">
        <v>2173</v>
      </c>
      <c r="AZ38" s="114">
        <v>2239</v>
      </c>
      <c r="BA38" s="115">
        <v>3260</v>
      </c>
      <c r="BB38" s="115">
        <v>2885</v>
      </c>
      <c r="BC38" s="115">
        <v>2686</v>
      </c>
      <c r="BD38" s="115">
        <v>307</v>
      </c>
      <c r="BE38" s="115">
        <v>1034</v>
      </c>
      <c r="BF38" s="130">
        <v>902</v>
      </c>
      <c r="BG38" s="115" t="s">
        <v>54</v>
      </c>
      <c r="BH38" s="115" t="s">
        <v>54</v>
      </c>
      <c r="BI38" s="115">
        <v>2487</v>
      </c>
      <c r="BJ38" s="115">
        <v>2470</v>
      </c>
      <c r="BK38" s="115">
        <v>7045</v>
      </c>
      <c r="BL38" s="115">
        <v>1599</v>
      </c>
      <c r="BM38" s="115">
        <v>5749</v>
      </c>
      <c r="BN38" s="130">
        <v>5813</v>
      </c>
      <c r="BO38" s="115" t="s">
        <v>54</v>
      </c>
      <c r="BP38" s="115" t="s">
        <v>54</v>
      </c>
      <c r="BQ38" s="115" t="s">
        <v>54</v>
      </c>
      <c r="BR38" s="115">
        <v>9296</v>
      </c>
      <c r="BS38" s="115">
        <v>8825</v>
      </c>
      <c r="BT38" s="115">
        <v>2923</v>
      </c>
      <c r="BU38" s="115">
        <v>5486</v>
      </c>
      <c r="BV38" s="130">
        <v>6220</v>
      </c>
      <c r="BW38" s="115">
        <v>522</v>
      </c>
      <c r="BX38" s="115">
        <v>1132</v>
      </c>
      <c r="BY38" s="130">
        <v>844</v>
      </c>
      <c r="BZ38" s="115">
        <v>204</v>
      </c>
      <c r="CA38" s="115">
        <v>460</v>
      </c>
      <c r="CB38" s="130">
        <v>828</v>
      </c>
      <c r="CC38" s="115">
        <v>1577</v>
      </c>
      <c r="CD38" s="115">
        <v>836</v>
      </c>
      <c r="CE38" s="115">
        <v>1158</v>
      </c>
      <c r="CF38" s="130">
        <v>1762</v>
      </c>
      <c r="CG38" s="115">
        <v>365</v>
      </c>
      <c r="CH38" s="115">
        <v>660</v>
      </c>
      <c r="CI38" s="130">
        <v>1267</v>
      </c>
      <c r="CJ38" s="130">
        <v>1213</v>
      </c>
      <c r="CK38" s="117" t="s">
        <v>33</v>
      </c>
    </row>
    <row r="39" spans="1:97" s="94" customFormat="1" ht="18.75" x14ac:dyDescent="0.25">
      <c r="A39" s="118" t="s">
        <v>55</v>
      </c>
      <c r="B39" s="118"/>
      <c r="C39" s="119"/>
      <c r="D39" s="119"/>
      <c r="E39" s="119"/>
      <c r="F39" s="119"/>
      <c r="G39" s="119"/>
      <c r="H39" s="119"/>
      <c r="I39" s="119"/>
      <c r="J39" s="119"/>
      <c r="CK39" s="125" t="s">
        <v>7</v>
      </c>
      <c r="CO39" s="120"/>
      <c r="CP39" s="64"/>
      <c r="CQ39" s="64"/>
      <c r="CR39" s="64"/>
      <c r="CS39" s="64"/>
    </row>
    <row r="40" spans="1:97" x14ac:dyDescent="0.25">
      <c r="A40" s="118" t="s">
        <v>56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</row>
    <row r="41" spans="1:97" x14ac:dyDescent="0.25">
      <c r="A41" s="118" t="s">
        <v>57</v>
      </c>
    </row>
    <row r="42" spans="1:97" x14ac:dyDescent="0.25">
      <c r="A42" s="118" t="s">
        <v>58</v>
      </c>
    </row>
    <row r="43" spans="1:97" x14ac:dyDescent="0.25">
      <c r="A43" s="118" t="s">
        <v>59</v>
      </c>
    </row>
    <row r="44" spans="1:97" x14ac:dyDescent="0.25">
      <c r="A44" s="118" t="s">
        <v>60</v>
      </c>
    </row>
    <row r="45" spans="1:97" x14ac:dyDescent="0.25">
      <c r="A45" s="118" t="s">
        <v>6</v>
      </c>
    </row>
  </sheetData>
  <mergeCells count="50">
    <mergeCell ref="A23:A25"/>
    <mergeCell ref="C23:J23"/>
    <mergeCell ref="K23:R23"/>
    <mergeCell ref="K24:R24"/>
    <mergeCell ref="S24:Z24"/>
    <mergeCell ref="AA24:AH24"/>
    <mergeCell ref="AI24:AP24"/>
    <mergeCell ref="AQ24:AX24"/>
    <mergeCell ref="S23:Z23"/>
    <mergeCell ref="AA23:AH23"/>
    <mergeCell ref="AI23:AP23"/>
    <mergeCell ref="AQ23:AX23"/>
    <mergeCell ref="AY23:BF23"/>
    <mergeCell ref="K5:R5"/>
    <mergeCell ref="S5:Z5"/>
    <mergeCell ref="AA5:AH5"/>
    <mergeCell ref="AI5:AP5"/>
    <mergeCell ref="AQ5:AX5"/>
    <mergeCell ref="CK4:CK6"/>
    <mergeCell ref="A4:A6"/>
    <mergeCell ref="BG4:BN4"/>
    <mergeCell ref="BO4:BV4"/>
    <mergeCell ref="A1:CK1"/>
    <mergeCell ref="AY5:BF5"/>
    <mergeCell ref="BG5:BN5"/>
    <mergeCell ref="BO5:BV5"/>
    <mergeCell ref="C4:J4"/>
    <mergeCell ref="C5:J5"/>
    <mergeCell ref="K4:R4"/>
    <mergeCell ref="S4:Z4"/>
    <mergeCell ref="AA4:AH4"/>
    <mergeCell ref="AI4:AP4"/>
    <mergeCell ref="AQ4:AX4"/>
    <mergeCell ref="AY4:BF4"/>
    <mergeCell ref="CG5:CI5"/>
    <mergeCell ref="CG24:CI24"/>
    <mergeCell ref="BW5:BY5"/>
    <mergeCell ref="BW24:BY24"/>
    <mergeCell ref="BZ5:CB5"/>
    <mergeCell ref="BZ24:CB24"/>
    <mergeCell ref="CC5:CF5"/>
    <mergeCell ref="CC24:CF24"/>
    <mergeCell ref="A20:CK20"/>
    <mergeCell ref="AY24:BF24"/>
    <mergeCell ref="BG24:BN24"/>
    <mergeCell ref="BO24:BV24"/>
    <mergeCell ref="CK23:CK25"/>
    <mergeCell ref="BG23:BN23"/>
    <mergeCell ref="BO23:BV23"/>
    <mergeCell ref="C24:J24"/>
  </mergeCells>
  <pageMargins left="0.7" right="0.7" top="0.75" bottom="0.75" header="0.3" footer="0.3"/>
  <pageSetup paperSize="9" scale="20" orientation="landscape" horizontalDpi="4294967295" verticalDpi="4294967295" r:id="rId1"/>
  <colBreaks count="1" manualBreakCount="1">
    <brk id="8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11.15</vt:lpstr>
      <vt:lpstr>11.16 </vt:lpstr>
      <vt:lpstr>'11.16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2023-07-17T08:08:01Z</cp:lastPrinted>
  <dcterms:created xsi:type="dcterms:W3CDTF">2019-03-24T03:32:16Z</dcterms:created>
  <dcterms:modified xsi:type="dcterms:W3CDTF">2023-07-17T08:08:05Z</dcterms:modified>
</cp:coreProperties>
</file>