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LECTRICITY &amp; Water\"/>
    </mc:Choice>
  </mc:AlternateContent>
  <xr:revisionPtr revIDLastSave="0" documentId="13_ncr:1_{722D0F88-158E-41CC-97C5-8A775D9B9039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12.1" sheetId="36" r:id="rId1"/>
  </sheets>
  <definedNames>
    <definedName name="Male">#REF!</definedName>
    <definedName name="_xlnm.Print_Area" localSheetId="0">'12.1'!$A$1:$S$40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6" l="1"/>
  <c r="Q18" i="36"/>
  <c r="J18" i="36"/>
  <c r="E18" i="36"/>
  <c r="H16" i="36"/>
  <c r="Q14" i="36"/>
  <c r="L14" i="36"/>
  <c r="Q13" i="36"/>
  <c r="Q12" i="36"/>
  <c r="Q11" i="36"/>
  <c r="Q10" i="36"/>
  <c r="P9" i="36"/>
  <c r="Q19" i="36" s="1"/>
  <c r="O9" i="36"/>
  <c r="N9" i="36"/>
  <c r="M9" i="36"/>
  <c r="M19" i="36" s="1"/>
  <c r="K9" i="36"/>
  <c r="J9" i="36"/>
  <c r="I9" i="36"/>
  <c r="H9" i="36"/>
  <c r="H19" i="36" s="1"/>
  <c r="F9" i="36"/>
  <c r="E9" i="36"/>
  <c r="D9" i="36"/>
  <c r="P8" i="36"/>
  <c r="O8" i="36"/>
  <c r="N8" i="36"/>
  <c r="M8" i="36"/>
  <c r="K8" i="36"/>
  <c r="K18" i="36" s="1"/>
  <c r="J8" i="36"/>
  <c r="I8" i="36"/>
  <c r="H8" i="36"/>
  <c r="I18" i="36" s="1"/>
  <c r="F8" i="36"/>
  <c r="G18" i="36" s="1"/>
  <c r="E8" i="36"/>
  <c r="D8" i="36"/>
  <c r="D18" i="36" s="1"/>
  <c r="P7" i="36"/>
  <c r="Q17" i="36" s="1"/>
  <c r="O7" i="36"/>
  <c r="N7" i="36"/>
  <c r="M7" i="36"/>
  <c r="K7" i="36"/>
  <c r="J7" i="36"/>
  <c r="J17" i="36" s="1"/>
  <c r="I7" i="36"/>
  <c r="H7" i="36"/>
  <c r="F7" i="36"/>
  <c r="F17" i="36" s="1"/>
  <c r="E7" i="36"/>
  <c r="E17" i="36" s="1"/>
  <c r="D7" i="36"/>
  <c r="D17" i="36" s="1"/>
  <c r="P6" i="36"/>
  <c r="O6" i="36"/>
  <c r="O16" i="36" s="1"/>
  <c r="N6" i="36"/>
  <c r="N16" i="36" s="1"/>
  <c r="M6" i="36"/>
  <c r="M16" i="36" s="1"/>
  <c r="K6" i="36"/>
  <c r="J6" i="36"/>
  <c r="J5" i="36" s="1"/>
  <c r="I6" i="36"/>
  <c r="I16" i="36" s="1"/>
  <c r="F6" i="36"/>
  <c r="G16" i="36" s="1"/>
  <c r="E6" i="36"/>
  <c r="D6" i="36"/>
  <c r="L5" i="36"/>
  <c r="L12" i="36" s="1"/>
  <c r="G5" i="36"/>
  <c r="G10" i="36" s="1"/>
  <c r="E5" i="36"/>
  <c r="E13" i="36" s="1"/>
  <c r="G11" i="36" l="1"/>
  <c r="I5" i="36"/>
  <c r="I11" i="36" s="1"/>
  <c r="P11" i="36"/>
  <c r="E19" i="36"/>
  <c r="L11" i="36"/>
  <c r="F19" i="36"/>
  <c r="P5" i="36"/>
  <c r="P12" i="36" s="1"/>
  <c r="P17" i="36"/>
  <c r="D5" i="36"/>
  <c r="D10" i="36" s="1"/>
  <c r="G13" i="36"/>
  <c r="E11" i="36"/>
  <c r="L13" i="36"/>
  <c r="I17" i="36"/>
  <c r="N19" i="36"/>
  <c r="K16" i="36"/>
  <c r="G19" i="36"/>
  <c r="M5" i="36"/>
  <c r="M13" i="36" s="1"/>
  <c r="P18" i="36"/>
  <c r="M15" i="36"/>
  <c r="M14" i="36"/>
  <c r="D12" i="36"/>
  <c r="D15" i="36"/>
  <c r="J10" i="36"/>
  <c r="J12" i="36"/>
  <c r="N12" i="36"/>
  <c r="N11" i="36"/>
  <c r="J14" i="36"/>
  <c r="J13" i="36"/>
  <c r="N13" i="36"/>
  <c r="I10" i="36"/>
  <c r="E12" i="36"/>
  <c r="G17" i="36"/>
  <c r="O19" i="36"/>
  <c r="F5" i="36"/>
  <c r="P13" i="36"/>
  <c r="J16" i="36"/>
  <c r="H17" i="36"/>
  <c r="F18" i="36"/>
  <c r="P19" i="36"/>
  <c r="G12" i="36"/>
  <c r="H5" i="36"/>
  <c r="L10" i="36"/>
  <c r="J11" i="36"/>
  <c r="L16" i="36"/>
  <c r="H18" i="36"/>
  <c r="K17" i="36"/>
  <c r="K5" i="36"/>
  <c r="K14" i="36" s="1"/>
  <c r="E15" i="36"/>
  <c r="P10" i="36"/>
  <c r="D16" i="36"/>
  <c r="P16" i="36"/>
  <c r="N17" i="36"/>
  <c r="L18" i="36"/>
  <c r="J19" i="36"/>
  <c r="E14" i="36"/>
  <c r="L17" i="36"/>
  <c r="G14" i="36"/>
  <c r="Q15" i="36"/>
  <c r="M17" i="36"/>
  <c r="I19" i="36"/>
  <c r="E10" i="36"/>
  <c r="G15" i="36"/>
  <c r="E16" i="36"/>
  <c r="Q16" i="36"/>
  <c r="O17" i="36"/>
  <c r="M18" i="36"/>
  <c r="K19" i="36"/>
  <c r="N5" i="36"/>
  <c r="D11" i="36"/>
  <c r="L19" i="36"/>
  <c r="F16" i="36"/>
  <c r="N18" i="36"/>
  <c r="O5" i="36"/>
  <c r="O14" i="36" s="1"/>
  <c r="I15" i="36"/>
  <c r="O18" i="36"/>
  <c r="I13" i="36" l="1"/>
  <c r="M10" i="36"/>
  <c r="I12" i="36"/>
  <c r="D14" i="36"/>
  <c r="I14" i="36"/>
  <c r="M11" i="36"/>
  <c r="D13" i="36"/>
  <c r="J15" i="36"/>
  <c r="M12" i="36"/>
  <c r="P14" i="36"/>
  <c r="H10" i="36"/>
  <c r="H15" i="36"/>
  <c r="H11" i="36"/>
  <c r="O11" i="36"/>
  <c r="N10" i="36"/>
  <c r="N15" i="36"/>
  <c r="H13" i="36"/>
  <c r="N14" i="36"/>
  <c r="H14" i="36"/>
  <c r="F11" i="36"/>
  <c r="F14" i="36"/>
  <c r="F10" i="36"/>
  <c r="F15" i="36"/>
  <c r="P15" i="36"/>
  <c r="O10" i="36"/>
  <c r="O15" i="36"/>
  <c r="O13" i="36"/>
  <c r="K11" i="36"/>
  <c r="K10" i="36"/>
  <c r="L15" i="36"/>
  <c r="K15" i="36"/>
  <c r="K12" i="36"/>
  <c r="K13" i="36"/>
  <c r="O12" i="36"/>
  <c r="F13" i="36"/>
  <c r="F12" i="36"/>
  <c r="H12" i="36"/>
</calcChain>
</file>

<file path=xl/sharedStrings.xml><?xml version="1.0" encoding="utf-8"?>
<sst xmlns="http://schemas.openxmlformats.org/spreadsheetml/2006/main" count="37" uniqueCount="22">
  <si>
    <t xml:space="preserve"> % cnutogWviawfiheb</t>
  </si>
  <si>
    <t>% change over previous year</t>
  </si>
  <si>
    <t xml:space="preserve"> % urwvcnim ivurutia eruvcSwrwhwa Iruk</t>
  </si>
  <si>
    <t>2024 - 2010 ,ctogEveruk cnunEb cTcnwrwk iawgElWm : 12.1 ulwvWt</t>
  </si>
  <si>
    <t>Table 12.1 :   ELECTRICITY UTILIZATION IN MALE', 2010 - 2024</t>
  </si>
  <si>
    <t>Load Distribution</t>
  </si>
  <si>
    <t>cawtiawb WviawfihebcDOl</t>
  </si>
  <si>
    <t>Total (In ' 000 kWh)</t>
  </si>
  <si>
    <t>(cniDwg cTovOlik 000') wlcmuj</t>
  </si>
  <si>
    <t xml:space="preserve">Residential </t>
  </si>
  <si>
    <t>cnwtcnwtELuairid</t>
  </si>
  <si>
    <t>Manufacturing and  Commercial</t>
  </si>
  <si>
    <t xml:space="preserve">           cnwtcnwt ELugWairWfwyiv iaWnwtcnwt Wdcawfuaitekwt</t>
  </si>
  <si>
    <t>Government Buildings</t>
  </si>
  <si>
    <t>cawtctWrWmia egurWkurws</t>
  </si>
  <si>
    <r>
      <t>Public Places and  Schools</t>
    </r>
    <r>
      <rPr>
        <vertAlign val="superscript"/>
        <sz val="10"/>
        <rFont val="Calibri"/>
        <family val="2"/>
        <scheme val="minor"/>
      </rPr>
      <t>1_/</t>
    </r>
  </si>
  <si>
    <t xml:space="preserve"> cawtclUkcs iaWnwtcnwt wncnuh cSwmunEb umcaWA</t>
  </si>
  <si>
    <t>%  share</t>
  </si>
  <si>
    <t>Public Places and  Schools</t>
  </si>
  <si>
    <t>Note: 1_/ -  The increase of  electricity utilization in Public Places and schools in 2017 and 2018 is  is due to  Includes TERTIARY HOSPITAL</t>
  </si>
  <si>
    <t>Source: State Electric Company Limited</t>
  </si>
  <si>
    <t>cDeTimil Inepcmok ckircTckeliacTETcs :ctWrwf ivcaedutWmUluAwm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</si>
</sst>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0.00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A_Faseyha"/>
    </font>
    <font>
      <b/>
      <sz val="10"/>
      <name val="Calibri"/>
      <family val="2"/>
      <scheme val="minor"/>
    </font>
    <font>
      <b/>
      <sz val="10"/>
      <name val="A_Faseyha"/>
    </font>
    <font>
      <sz val="10"/>
      <name val="A_Faseyha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A_Randhoo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_Faseyha"/>
    </font>
    <font>
      <sz val="10"/>
      <name val="Arial"/>
      <family val="2"/>
      <charset val="1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1" tint="4.9989318521683403E-2"/>
      </bottom>
      <diagonal/>
    </border>
    <border>
      <left style="thin">
        <color theme="0"/>
      </left>
      <right style="thin">
        <color theme="0"/>
      </right>
      <top style="dotted">
        <color theme="1" tint="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1" tint="4.9989318521683403E-2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</cellStyleXfs>
  <cellXfs count="76">
    <xf numFmtId="0" fontId="0" fillId="0" borderId="0" xfId="0"/>
    <xf numFmtId="0" fontId="10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8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right" vertical="center"/>
    </xf>
    <xf numFmtId="164" fontId="8" fillId="2" borderId="7" xfId="1" applyNumberFormat="1" applyFont="1" applyFill="1" applyBorder="1" applyAlignment="1" applyProtection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3" fontId="5" fillId="2" borderId="11" xfId="0" applyNumberFormat="1" applyFont="1" applyFill="1" applyBorder="1" applyAlignment="1">
      <alignment horizontal="right" vertical="center"/>
    </xf>
    <xf numFmtId="164" fontId="5" fillId="2" borderId="11" xfId="1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164" fontId="5" fillId="2" borderId="4" xfId="1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right" vertical="center"/>
    </xf>
    <xf numFmtId="3" fontId="8" fillId="2" borderId="15" xfId="0" applyNumberFormat="1" applyFont="1" applyFill="1" applyBorder="1" applyAlignment="1">
      <alignment horizontal="right" vertical="center"/>
    </xf>
    <xf numFmtId="1" fontId="8" fillId="2" borderId="15" xfId="1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right" vertical="center"/>
    </xf>
    <xf numFmtId="3" fontId="5" fillId="2" borderId="11" xfId="1" applyNumberFormat="1" applyFont="1" applyFill="1" applyBorder="1" applyAlignment="1">
      <alignment horizontal="right" vertical="center"/>
    </xf>
    <xf numFmtId="1" fontId="5" fillId="2" borderId="11" xfId="1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 applyProtection="1">
      <alignment vertical="center"/>
      <protection locked="0"/>
    </xf>
    <xf numFmtId="1" fontId="5" fillId="2" borderId="4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 applyProtection="1">
      <alignment vertical="center"/>
      <protection locked="0"/>
    </xf>
    <xf numFmtId="1" fontId="5" fillId="2" borderId="16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horizontal="right" vertical="center"/>
    </xf>
    <xf numFmtId="3" fontId="8" fillId="2" borderId="7" xfId="1" applyNumberFormat="1" applyFont="1" applyFill="1" applyBorder="1" applyAlignment="1">
      <alignment horizontal="right" vertical="center"/>
    </xf>
    <xf numFmtId="1" fontId="8" fillId="2" borderId="7" xfId="1" applyNumberFormat="1" applyFont="1" applyFill="1" applyBorder="1" applyAlignment="1">
      <alignment horizontal="right" vertical="center"/>
    </xf>
    <xf numFmtId="3" fontId="5" fillId="2" borderId="4" xfId="1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/>
    </xf>
    <xf numFmtId="3" fontId="5" fillId="2" borderId="18" xfId="1" applyNumberFormat="1" applyFont="1" applyFill="1" applyBorder="1" applyAlignment="1">
      <alignment vertical="center"/>
    </xf>
    <xf numFmtId="1" fontId="5" fillId="2" borderId="18" xfId="1" applyNumberFormat="1" applyFont="1" applyFill="1" applyBorder="1" applyAlignment="1">
      <alignment vertical="center"/>
    </xf>
    <xf numFmtId="0" fontId="10" fillId="2" borderId="18" xfId="0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left" vertical="center"/>
    </xf>
    <xf numFmtId="3" fontId="5" fillId="2" borderId="10" xfId="1" applyNumberFormat="1" applyFont="1" applyFill="1" applyBorder="1" applyAlignment="1">
      <alignment vertical="center"/>
    </xf>
    <xf numFmtId="1" fontId="5" fillId="2" borderId="10" xfId="1" applyNumberFormat="1" applyFont="1" applyFill="1" applyBorder="1" applyAlignment="1">
      <alignment vertical="center"/>
    </xf>
    <xf numFmtId="1" fontId="5" fillId="2" borderId="0" xfId="1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3" fontId="2" fillId="2" borderId="7" xfId="1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0" fontId="14" fillId="2" borderId="13" xfId="0" applyFont="1" applyFill="1" applyBorder="1" applyAlignment="1">
      <alignment horizontal="left" vertical="center"/>
    </xf>
    <xf numFmtId="3" fontId="14" fillId="2" borderId="11" xfId="1" applyNumberFormat="1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/>
    </xf>
    <xf numFmtId="0" fontId="0" fillId="2" borderId="11" xfId="0" applyFill="1" applyBorder="1"/>
    <xf numFmtId="0" fontId="13" fillId="2" borderId="11" xfId="0" applyFont="1" applyFill="1" applyBorder="1" applyAlignment="1">
      <alignment horizontal="right"/>
    </xf>
    <xf numFmtId="1" fontId="14" fillId="2" borderId="11" xfId="0" applyNumberFormat="1" applyFont="1" applyFill="1" applyBorder="1"/>
    <xf numFmtId="0" fontId="14" fillId="2" borderId="11" xfId="0" applyFont="1" applyFill="1" applyBorder="1"/>
    <xf numFmtId="3" fontId="0" fillId="2" borderId="11" xfId="0" applyNumberFormat="1" applyFill="1" applyBorder="1"/>
    <xf numFmtId="1" fontId="0" fillId="2" borderId="11" xfId="0" applyNumberFormat="1" applyFill="1" applyBorder="1"/>
    <xf numFmtId="164" fontId="14" fillId="2" borderId="11" xfId="2" applyFont="1" applyFill="1" applyBorder="1" applyAlignment="1" applyProtection="1">
      <alignment horizontal="right" vertical="center"/>
      <protection locked="0"/>
    </xf>
    <xf numFmtId="3" fontId="6" fillId="2" borderId="7" xfId="0" applyNumberFormat="1" applyFont="1" applyFill="1" applyBorder="1" applyAlignment="1">
      <alignment horizontal="right" vertical="center"/>
    </xf>
    <xf numFmtId="164" fontId="6" fillId="2" borderId="7" xfId="1" applyNumberFormat="1" applyFont="1" applyFill="1" applyBorder="1" applyAlignment="1" applyProtection="1">
      <alignment horizontal="right" vertical="center"/>
    </xf>
    <xf numFmtId="167" fontId="14" fillId="2" borderId="11" xfId="0" applyNumberFormat="1" applyFont="1" applyFill="1" applyBorder="1"/>
    <xf numFmtId="0" fontId="0" fillId="2" borderId="13" xfId="0" applyFill="1" applyBorder="1"/>
    <xf numFmtId="3" fontId="5" fillId="2" borderId="4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</cellXfs>
  <cellStyles count="12">
    <cellStyle name="Comma" xfId="1" builtinId="3"/>
    <cellStyle name="Comma 2" xfId="2" xr:uid="{00000000-0005-0000-0000-000001000000}"/>
    <cellStyle name="Comma 2 2" xfId="3" xr:uid="{00000000-0005-0000-0000-000002000000}"/>
    <cellStyle name="Comma 3" xfId="10" xr:uid="{F5B4A224-1F62-4D26-BEF8-EC4E8130DEEE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9" xr:uid="{F405DDE0-D1F1-478E-9D0E-047C915BEE51}"/>
    <cellStyle name="Normal 4" xfId="7" xr:uid="{00000000-0005-0000-0000-000007000000}"/>
    <cellStyle name="Normal 4 2" xfId="11" xr:uid="{C0BBE1BE-4BC0-4737-BFDA-D8EF6C73CAA2}"/>
    <cellStyle name="Normal 5" xfId="8" xr:uid="{00000000-0005-0000-0000-000008000000}"/>
  </cellStyles>
  <dxfs count="0"/>
  <tableStyles count="0" defaultTableStyle="TableStyleMedium2" defaultPivotStyle="PivotStyleLight16"/>
  <colors>
    <mruColors>
      <color rgb="FF9BC2E6"/>
      <color rgb="FF003399"/>
      <color rgb="FFEEEEEE"/>
      <color rgb="FFAEAAAA"/>
      <color rgb="FF7E5400"/>
      <color rgb="FF33CCCC"/>
      <color rgb="FF249390"/>
      <color rgb="FF196563"/>
      <color rgb="FFEAFAFA"/>
      <color rgb="FFC7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Figure 12.1:  Electricity utilization in Male', 2010 - 2024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28368988914847743"/>
          <c:y val="5.9947524628400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2173008029828"/>
          <c:y val="0.1711807378244386"/>
          <c:w val="0.86084204013744781"/>
          <c:h val="0.721419874599008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numRef>
              <c:f>'12.1'!$C$4:$Q$4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'12.1'!$C$5:$Q$5</c:f>
              <c:numCache>
                <c:formatCode>_(* #,##0_);_(* \(#,##0\);_(* "-"??_);_(@_)</c:formatCode>
                <c:ptCount val="15"/>
                <c:pt idx="0" formatCode="#,##0">
                  <c:v>195722.55800000002</c:v>
                </c:pt>
                <c:pt idx="1">
                  <c:v>211889.32699999999</c:v>
                </c:pt>
                <c:pt idx="2" formatCode="#,##0">
                  <c:v>219663.37332000001</c:v>
                </c:pt>
                <c:pt idx="3" formatCode="#,##0">
                  <c:v>232023.39200000002</c:v>
                </c:pt>
                <c:pt idx="4" formatCode="#,##0">
                  <c:v>239067</c:v>
                </c:pt>
                <c:pt idx="5" formatCode="#,##0">
                  <c:v>260445.08562</c:v>
                </c:pt>
                <c:pt idx="6" formatCode="#,##0">
                  <c:v>271814.04891000001</c:v>
                </c:pt>
                <c:pt idx="7" formatCode="#,##0">
                  <c:v>304527.45199199999</c:v>
                </c:pt>
                <c:pt idx="8" formatCode="#,##0">
                  <c:v>318850.96300000005</c:v>
                </c:pt>
                <c:pt idx="9" formatCode="#,##0">
                  <c:v>356353.60600000003</c:v>
                </c:pt>
                <c:pt idx="10" formatCode="#,##0">
                  <c:v>349092.49200000003</c:v>
                </c:pt>
                <c:pt idx="11" formatCode="#,##0">
                  <c:v>355496.29966999998</c:v>
                </c:pt>
                <c:pt idx="12" formatCode="#,##0">
                  <c:v>384809.04599999997</c:v>
                </c:pt>
                <c:pt idx="13" formatCode="#,##0">
                  <c:v>391864.34399999998</c:v>
                </c:pt>
                <c:pt idx="14" formatCode="#,##0">
                  <c:v>407034.82366992644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9-4F3A-8AF4-977FA805C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1"/>
        <c:overlap val="-27"/>
        <c:axId val="462056392"/>
        <c:axId val="462054040"/>
      </c:barChart>
      <c:catAx>
        <c:axId val="4620563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4040"/>
        <c:crosses val="autoZero"/>
        <c:auto val="1"/>
        <c:lblAlgn val="ctr"/>
        <c:lblOffset val="100"/>
        <c:noMultiLvlLbl val="0"/>
      </c:catAx>
      <c:valAx>
        <c:axId val="4620540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6392"/>
        <c:crosses val="autoZero"/>
        <c:crossBetween val="between"/>
      </c:valAx>
      <c:spPr>
        <a:solidFill>
          <a:srgbClr val="EEEEEE"/>
        </a:solidFill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Figure 12.2:  Percentage of Electricity utilization in  Male' by type,  2024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8038699895628424"/>
          <c:y val="4.200715846065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175603049618798E-2"/>
          <c:y val="0.29610819480898221"/>
          <c:w val="0.82511364650847219"/>
          <c:h val="0.667459536307961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339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0C-459E-87DB-51FA779F03A8}"/>
              </c:ext>
            </c:extLst>
          </c:dPt>
          <c:dPt>
            <c:idx val="1"/>
            <c:bubble3D val="0"/>
            <c:spPr>
              <a:solidFill>
                <a:srgbClr val="9BC2E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0C-459E-87DB-51FA779F03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0C-459E-87DB-51FA779F03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00C-459E-87DB-51FA779F03A8}"/>
              </c:ext>
            </c:extLst>
          </c:dPt>
          <c:dLbls>
            <c:dLbl>
              <c:idx val="0"/>
              <c:layout>
                <c:manualLayout>
                  <c:x val="-0.16096915729715858"/>
                  <c:y val="-8.8699594368885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0C-459E-87DB-51FA779F03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'12.1'!$A$6:$A$9</c:f>
              <c:strCache>
                <c:ptCount val="4"/>
                <c:pt idx="0">
                  <c:v>Residential </c:v>
                </c:pt>
                <c:pt idx="1">
                  <c:v>Manufacturing and  Commercial</c:v>
                </c:pt>
                <c:pt idx="2">
                  <c:v>Government Buildings</c:v>
                </c:pt>
                <c:pt idx="3">
                  <c:v>Public Places and  Schools1_/</c:v>
                </c:pt>
              </c:strCache>
            </c:strRef>
          </c:cat>
          <c:val>
            <c:numRef>
              <c:f>'12.1'!$Q$6:$Q$9</c:f>
              <c:numCache>
                <c:formatCode>#,##0</c:formatCode>
                <c:ptCount val="4"/>
                <c:pt idx="0">
                  <c:v>235709.60166992605</c:v>
                </c:pt>
                <c:pt idx="1">
                  <c:v>130093.81000000043</c:v>
                </c:pt>
                <c:pt idx="2">
                  <c:v>41231.411999999975</c:v>
                </c:pt>
                <c:pt idx="3">
                  <c:v>15264.142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0C-459E-87DB-51FA779F0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EEEEEE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21</xdr:row>
      <xdr:rowOff>161925</xdr:rowOff>
    </xdr:from>
    <xdr:to>
      <xdr:col>9</xdr:col>
      <xdr:colOff>590550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1D11A-4C60-4AA4-B5A9-922B03EAD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141266</xdr:colOff>
      <xdr:row>27</xdr:row>
      <xdr:rowOff>117295</xdr:rowOff>
    </xdr:from>
    <xdr:ext cx="233205" cy="7415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B0BB18-1DDE-4DC7-8BD5-C2B68118B54F}"/>
            </a:ext>
          </a:extLst>
        </xdr:cNvPr>
        <xdr:cNvSpPr txBox="1"/>
      </xdr:nvSpPr>
      <xdr:spPr>
        <a:xfrm rot="16200000">
          <a:off x="-112926" y="5838837"/>
          <a:ext cx="7415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 b="1"/>
            <a:t>in '000 Kwh</a:t>
          </a:r>
        </a:p>
      </xdr:txBody>
    </xdr:sp>
    <xdr:clientData/>
  </xdr:oneCellAnchor>
  <xdr:twoCellAnchor>
    <xdr:from>
      <xdr:col>10</xdr:col>
      <xdr:colOff>161925</xdr:colOff>
      <xdr:row>21</xdr:row>
      <xdr:rowOff>180975</xdr:rowOff>
    </xdr:from>
    <xdr:to>
      <xdr:col>17</xdr:col>
      <xdr:colOff>2038349</xdr:colOff>
      <xdr:row>36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09F6F7-2D77-42CB-AB12-C152E3632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57B7-7795-4CAC-923C-5554D3F45AC5}">
  <sheetPr>
    <tabColor rgb="FF92D050"/>
  </sheetPr>
  <dimension ref="A1:AW46"/>
  <sheetViews>
    <sheetView tabSelected="1" zoomScaleNormal="100" workbookViewId="0">
      <selection activeCell="B3" sqref="B1:B1048576"/>
    </sheetView>
  </sheetViews>
  <sheetFormatPr defaultColWidth="11.140625" defaultRowHeight="12.75"/>
  <cols>
    <col min="1" max="1" width="26.5703125" style="58" customWidth="1"/>
    <col min="2" max="2" width="11.140625" style="25" hidden="1" customWidth="1"/>
    <col min="3" max="16" width="11.140625" style="25"/>
    <col min="17" max="17" width="13.5703125" style="25" customWidth="1"/>
    <col min="18" max="18" width="34.5703125" style="25" customWidth="1"/>
    <col min="19" max="22" width="22.5703125" style="25" customWidth="1"/>
    <col min="23" max="23" width="25" style="25" customWidth="1"/>
    <col min="24" max="24" width="9.28515625" style="25" customWidth="1"/>
    <col min="25" max="35" width="8.5703125" style="25" customWidth="1"/>
    <col min="36" max="36" width="10" style="25" customWidth="1"/>
    <col min="37" max="39" width="11.140625" style="25"/>
    <col min="40" max="40" width="12.42578125" style="25" bestFit="1" customWidth="1"/>
    <col min="41" max="16384" width="11.140625" style="25"/>
  </cols>
  <sheetData>
    <row r="1" spans="1:23" s="5" customFormat="1" ht="18.75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  <c r="S1" s="4"/>
      <c r="T1" s="4"/>
      <c r="U1" s="4"/>
      <c r="V1" s="4"/>
    </row>
    <row r="2" spans="1:23" s="3" customFormat="1" ht="15.75">
      <c r="A2" s="75" t="s">
        <v>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6"/>
      <c r="T2" s="6"/>
      <c r="U2" s="6"/>
      <c r="V2" s="6"/>
    </row>
    <row r="3" spans="1:23" s="10" customForma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9"/>
      <c r="T3" s="9"/>
      <c r="U3" s="9"/>
      <c r="V3" s="9"/>
    </row>
    <row r="4" spans="1:23" s="15" customFormat="1" ht="15.75">
      <c r="A4" s="11" t="s">
        <v>5</v>
      </c>
      <c r="B4" s="12">
        <v>2009</v>
      </c>
      <c r="C4" s="12">
        <v>2010</v>
      </c>
      <c r="D4" s="12">
        <v>2011</v>
      </c>
      <c r="E4" s="12">
        <v>2012</v>
      </c>
      <c r="F4" s="12">
        <v>2013</v>
      </c>
      <c r="G4" s="12">
        <v>2014</v>
      </c>
      <c r="H4" s="12">
        <v>2015</v>
      </c>
      <c r="I4" s="12">
        <v>2016</v>
      </c>
      <c r="J4" s="12">
        <v>2017</v>
      </c>
      <c r="K4" s="12">
        <v>2018</v>
      </c>
      <c r="L4" s="12">
        <v>2019</v>
      </c>
      <c r="M4" s="12">
        <v>2020</v>
      </c>
      <c r="N4" s="12">
        <v>2021</v>
      </c>
      <c r="O4" s="12">
        <v>2022</v>
      </c>
      <c r="P4" s="12">
        <v>2023</v>
      </c>
      <c r="Q4" s="12">
        <v>2024</v>
      </c>
      <c r="R4" s="13" t="s">
        <v>6</v>
      </c>
      <c r="S4" s="14"/>
      <c r="T4" s="14"/>
      <c r="U4" s="14"/>
      <c r="V4" s="14"/>
    </row>
    <row r="5" spans="1:23" s="20" customFormat="1" ht="15.75">
      <c r="A5" s="16" t="s">
        <v>7</v>
      </c>
      <c r="B5" s="17">
        <v>187110.266</v>
      </c>
      <c r="C5" s="17">
        <v>195722.55800000002</v>
      </c>
      <c r="D5" s="18">
        <f t="shared" ref="D5:L5" si="0">SUM(D6:D9)</f>
        <v>211889.32699999999</v>
      </c>
      <c r="E5" s="17">
        <f t="shared" si="0"/>
        <v>219663.37332000001</v>
      </c>
      <c r="F5" s="17">
        <f t="shared" si="0"/>
        <v>232023.39200000002</v>
      </c>
      <c r="G5" s="17">
        <f t="shared" si="0"/>
        <v>239067</v>
      </c>
      <c r="H5" s="17">
        <f t="shared" si="0"/>
        <v>260445.08562</v>
      </c>
      <c r="I5" s="17">
        <f t="shared" si="0"/>
        <v>271814.04891000001</v>
      </c>
      <c r="J5" s="17">
        <f t="shared" si="0"/>
        <v>304527.45199199999</v>
      </c>
      <c r="K5" s="17">
        <f t="shared" si="0"/>
        <v>318850.96300000005</v>
      </c>
      <c r="L5" s="17">
        <f t="shared" si="0"/>
        <v>356353.60600000003</v>
      </c>
      <c r="M5" s="17">
        <f>SUM(M6:M9)</f>
        <v>349092.49200000003</v>
      </c>
      <c r="N5" s="17">
        <f>SUM(N6:N9)</f>
        <v>355496.29966999998</v>
      </c>
      <c r="O5" s="17">
        <f>SUM(O6:O9)</f>
        <v>384809.04599999997</v>
      </c>
      <c r="P5" s="17">
        <f>SUM(P6:P9)</f>
        <v>391864.34399999998</v>
      </c>
      <c r="Q5" s="17">
        <v>407034.82366992644</v>
      </c>
      <c r="R5" s="19" t="s">
        <v>8</v>
      </c>
      <c r="S5" s="19"/>
      <c r="T5" s="19"/>
      <c r="U5" s="19"/>
      <c r="V5" s="19"/>
    </row>
    <row r="6" spans="1:23" ht="15.75">
      <c r="A6" s="21" t="s">
        <v>9</v>
      </c>
      <c r="B6" s="22">
        <v>88944.971999999994</v>
      </c>
      <c r="C6" s="22">
        <v>95038.9</v>
      </c>
      <c r="D6" s="23">
        <f>103656318/1000</f>
        <v>103656.318</v>
      </c>
      <c r="E6" s="22">
        <f>111363653/1000</f>
        <v>111363.65300000001</v>
      </c>
      <c r="F6" s="22">
        <f>119971440/1000</f>
        <v>119971.44</v>
      </c>
      <c r="G6" s="22">
        <v>123902</v>
      </c>
      <c r="H6" s="22">
        <v>137096</v>
      </c>
      <c r="I6" s="22">
        <f>137727445.83/1000</f>
        <v>137727.44583000001</v>
      </c>
      <c r="J6" s="22">
        <f>158915802.98/1000</f>
        <v>158915.80297999998</v>
      </c>
      <c r="K6" s="22">
        <f>166585834/1000</f>
        <v>166585.834</v>
      </c>
      <c r="L6" s="22">
        <v>189659.94099999999</v>
      </c>
      <c r="M6" s="22">
        <f>202004521/1000</f>
        <v>202004.52100000001</v>
      </c>
      <c r="N6" s="22">
        <f>201693451.67/1000</f>
        <v>201693.45166999998</v>
      </c>
      <c r="O6" s="22">
        <f>204596354/1000</f>
        <v>204596.35399999999</v>
      </c>
      <c r="P6" s="22">
        <f>213006789/1000</f>
        <v>213006.78899999999</v>
      </c>
      <c r="Q6" s="22">
        <v>235709.60166992605</v>
      </c>
      <c r="R6" s="24" t="s">
        <v>10</v>
      </c>
      <c r="S6" s="19"/>
      <c r="T6" s="24"/>
      <c r="U6" s="24"/>
      <c r="V6" s="24"/>
      <c r="W6" s="20"/>
    </row>
    <row r="7" spans="1:23" ht="15.75">
      <c r="A7" s="21" t="s">
        <v>11</v>
      </c>
      <c r="B7" s="26">
        <v>65606.008000000002</v>
      </c>
      <c r="C7" s="26">
        <v>71403.343999999997</v>
      </c>
      <c r="D7" s="27">
        <f>77813511/1000</f>
        <v>77813.510999999999</v>
      </c>
      <c r="E7" s="26">
        <f>79364129.32/1000</f>
        <v>79364.129319999993</v>
      </c>
      <c r="F7" s="26">
        <f>82565573/1000</f>
        <v>82565.573000000004</v>
      </c>
      <c r="G7" s="26">
        <v>85616</v>
      </c>
      <c r="H7" s="26">
        <f>91503609/1000</f>
        <v>91503.608999999997</v>
      </c>
      <c r="I7" s="26">
        <f>100920014.08/1000</f>
        <v>100920.01407999999</v>
      </c>
      <c r="J7" s="26">
        <f>104096665.01/1000</f>
        <v>104096.66501000001</v>
      </c>
      <c r="K7" s="26">
        <f>109946317/1000</f>
        <v>109946.317</v>
      </c>
      <c r="L7" s="26">
        <v>118499.515</v>
      </c>
      <c r="M7" s="26">
        <f>100990373/1000</f>
        <v>100990.37300000001</v>
      </c>
      <c r="N7" s="26">
        <f>105735938/1000</f>
        <v>105735.93799999999</v>
      </c>
      <c r="O7" s="26">
        <f>123295381/1000</f>
        <v>123295.38099999999</v>
      </c>
      <c r="P7" s="26">
        <f>127342321/1000</f>
        <v>127342.321</v>
      </c>
      <c r="Q7" s="22">
        <v>130093.81000000043</v>
      </c>
      <c r="R7" s="24" t="s">
        <v>12</v>
      </c>
      <c r="S7" s="19"/>
      <c r="T7" s="24"/>
      <c r="U7" s="24"/>
      <c r="V7" s="24"/>
      <c r="W7" s="20"/>
    </row>
    <row r="8" spans="1:23" ht="15.75">
      <c r="A8" s="21" t="s">
        <v>13</v>
      </c>
      <c r="B8" s="22">
        <v>29244.899000000001</v>
      </c>
      <c r="C8" s="22">
        <v>25529.73</v>
      </c>
      <c r="D8" s="23">
        <f>26612399/1000</f>
        <v>26612.399000000001</v>
      </c>
      <c r="E8" s="22">
        <f>25667565/1000</f>
        <v>25667.564999999999</v>
      </c>
      <c r="F8" s="22">
        <f>26271621/1000</f>
        <v>26271.620999999999</v>
      </c>
      <c r="G8" s="22">
        <v>26534</v>
      </c>
      <c r="H8" s="22">
        <f>28589806.62/1000</f>
        <v>28589.806619999999</v>
      </c>
      <c r="I8" s="22">
        <f>30685177/1000</f>
        <v>30685.177</v>
      </c>
      <c r="J8" s="22">
        <f>31176746.002/1000</f>
        <v>31176.746002</v>
      </c>
      <c r="K8" s="22">
        <f>29469195/1000</f>
        <v>29469.195</v>
      </c>
      <c r="L8" s="22">
        <v>32819.432999999997</v>
      </c>
      <c r="M8" s="22">
        <f>29747172/1000</f>
        <v>29747.171999999999</v>
      </c>
      <c r="N8" s="22">
        <f>31329341/1000</f>
        <v>31329.341</v>
      </c>
      <c r="O8" s="22">
        <f>39469193/1000</f>
        <v>39469.192999999999</v>
      </c>
      <c r="P8" s="22">
        <f>36135324/1000</f>
        <v>36135.324000000001</v>
      </c>
      <c r="Q8" s="22">
        <v>41231.411999999975</v>
      </c>
      <c r="R8" s="24" t="s">
        <v>14</v>
      </c>
      <c r="S8" s="19"/>
      <c r="T8" s="24"/>
      <c r="U8" s="24"/>
      <c r="V8" s="24"/>
      <c r="W8" s="20"/>
    </row>
    <row r="9" spans="1:23" ht="15.75">
      <c r="A9" s="28" t="s">
        <v>15</v>
      </c>
      <c r="B9" s="26">
        <v>3314.3870000000002</v>
      </c>
      <c r="C9" s="26">
        <v>3750.5839999999998</v>
      </c>
      <c r="D9" s="27">
        <f>3807099/1000</f>
        <v>3807.0990000000002</v>
      </c>
      <c r="E9" s="26">
        <f>3268026/1000</f>
        <v>3268.0259999999998</v>
      </c>
      <c r="F9" s="26">
        <f>3214758/1000</f>
        <v>3214.7579999999998</v>
      </c>
      <c r="G9" s="26">
        <v>3015</v>
      </c>
      <c r="H9" s="26">
        <f>3255670/1000</f>
        <v>3255.67</v>
      </c>
      <c r="I9" s="26">
        <f>2481412/1000</f>
        <v>2481.4119999999998</v>
      </c>
      <c r="J9" s="26">
        <f>10338238/1000</f>
        <v>10338.237999999999</v>
      </c>
      <c r="K9" s="26">
        <f>12849617/1000</f>
        <v>12849.617</v>
      </c>
      <c r="L9" s="26">
        <v>15374.717000000001</v>
      </c>
      <c r="M9" s="26">
        <f>16350426/1000</f>
        <v>16350.425999999999</v>
      </c>
      <c r="N9" s="26">
        <f>16737569/1000</f>
        <v>16737.569</v>
      </c>
      <c r="O9" s="26">
        <f>17448118/1000</f>
        <v>17448.117999999999</v>
      </c>
      <c r="P9" s="26">
        <f>15379910/1000</f>
        <v>15379.91</v>
      </c>
      <c r="Q9" s="72">
        <v>15264.142</v>
      </c>
      <c r="R9" s="29" t="s">
        <v>16</v>
      </c>
      <c r="S9" s="19"/>
      <c r="T9" s="29"/>
      <c r="U9" s="29"/>
      <c r="V9" s="29"/>
      <c r="W9" s="20"/>
    </row>
    <row r="10" spans="1:23" s="20" customFormat="1" ht="15.75">
      <c r="A10" s="16" t="s">
        <v>17</v>
      </c>
      <c r="B10" s="30">
        <v>100</v>
      </c>
      <c r="C10" s="30">
        <v>100</v>
      </c>
      <c r="D10" s="31">
        <f t="shared" ref="D10:L10" si="1">D5/D5*100</f>
        <v>100</v>
      </c>
      <c r="E10" s="31">
        <f t="shared" si="1"/>
        <v>100</v>
      </c>
      <c r="F10" s="31">
        <f t="shared" si="1"/>
        <v>100</v>
      </c>
      <c r="G10" s="31">
        <f t="shared" si="1"/>
        <v>100</v>
      </c>
      <c r="H10" s="31">
        <f t="shared" si="1"/>
        <v>100</v>
      </c>
      <c r="I10" s="31">
        <f t="shared" si="1"/>
        <v>100</v>
      </c>
      <c r="J10" s="31">
        <f t="shared" si="1"/>
        <v>100</v>
      </c>
      <c r="K10" s="31">
        <f t="shared" si="1"/>
        <v>100</v>
      </c>
      <c r="L10" s="31">
        <f t="shared" si="1"/>
        <v>100</v>
      </c>
      <c r="M10" s="31">
        <f>M5/M5*100</f>
        <v>100</v>
      </c>
      <c r="N10" s="31">
        <f>N5/N5*100</f>
        <v>100</v>
      </c>
      <c r="O10" s="31">
        <f>O5/O5*100</f>
        <v>100</v>
      </c>
      <c r="P10" s="31">
        <f>P5/P5*100</f>
        <v>100</v>
      </c>
      <c r="Q10" s="31">
        <f>Q5/Q5*100</f>
        <v>100</v>
      </c>
      <c r="R10" s="32" t="s">
        <v>0</v>
      </c>
      <c r="S10" s="19"/>
      <c r="T10" s="19"/>
      <c r="U10" s="19"/>
      <c r="V10" s="19"/>
    </row>
    <row r="11" spans="1:23" ht="15.75">
      <c r="A11" s="21" t="s">
        <v>9</v>
      </c>
      <c r="B11" s="33">
        <v>47.536126104379498</v>
      </c>
      <c r="C11" s="33">
        <v>48.557969490670558</v>
      </c>
      <c r="D11" s="34">
        <f>D6/D5*100</f>
        <v>48.920027954027148</v>
      </c>
      <c r="E11" s="34">
        <f>E6/E5*100</f>
        <v>50.697415466605023</v>
      </c>
      <c r="F11" s="34">
        <f>F6/F5*100</f>
        <v>51.706614133112915</v>
      </c>
      <c r="G11" s="34">
        <f>G6/G5*100</f>
        <v>51.827312008767414</v>
      </c>
      <c r="H11" s="34">
        <f t="shared" ref="H11:M11" si="2">H6/H5*100</f>
        <v>52.639119557060354</v>
      </c>
      <c r="I11" s="34">
        <f t="shared" si="2"/>
        <v>50.669730421330343</v>
      </c>
      <c r="J11" s="34">
        <f t="shared" si="2"/>
        <v>52.184393210033079</v>
      </c>
      <c r="K11" s="34">
        <f t="shared" si="2"/>
        <v>52.245673788352335</v>
      </c>
      <c r="L11" s="34">
        <f t="shared" si="2"/>
        <v>53.222399831699754</v>
      </c>
      <c r="M11" s="34">
        <f t="shared" si="2"/>
        <v>57.865616027055658</v>
      </c>
      <c r="N11" s="34">
        <f>N6/N5*100</f>
        <v>56.735738700298121</v>
      </c>
      <c r="O11" s="34">
        <f>O6/O5*100</f>
        <v>53.168280768534736</v>
      </c>
      <c r="P11" s="34">
        <f>P6/P5*100</f>
        <v>54.3572775276538</v>
      </c>
      <c r="Q11" s="34">
        <f>Q6/Q5*100</f>
        <v>57.908952247552214</v>
      </c>
      <c r="R11" s="24" t="s">
        <v>10</v>
      </c>
      <c r="S11" s="19"/>
      <c r="T11" s="24"/>
      <c r="U11" s="24"/>
      <c r="V11" s="24"/>
      <c r="W11" s="20"/>
    </row>
    <row r="12" spans="1:23" ht="15.75">
      <c r="A12" s="21" t="s">
        <v>11</v>
      </c>
      <c r="B12" s="35">
        <v>35.062751714542486</v>
      </c>
      <c r="C12" s="35">
        <v>36.481918451116904</v>
      </c>
      <c r="D12" s="36">
        <f t="shared" ref="D12:Q12" si="3">D7/D5*100</f>
        <v>36.723657629060291</v>
      </c>
      <c r="E12" s="36">
        <f t="shared" si="3"/>
        <v>36.129887345572328</v>
      </c>
      <c r="F12" s="36">
        <f t="shared" si="3"/>
        <v>35.585021099941507</v>
      </c>
      <c r="G12" s="36">
        <f t="shared" si="3"/>
        <v>35.812554639494365</v>
      </c>
      <c r="H12" s="36">
        <f t="shared" si="3"/>
        <v>35.133551774329689</v>
      </c>
      <c r="I12" s="36">
        <f t="shared" si="3"/>
        <v>37.128328901577667</v>
      </c>
      <c r="J12" s="36">
        <f t="shared" si="3"/>
        <v>34.18301513675511</v>
      </c>
      <c r="K12" s="36">
        <f t="shared" si="3"/>
        <v>34.482040124809025</v>
      </c>
      <c r="L12" s="36">
        <f t="shared" si="3"/>
        <v>33.253350886534875</v>
      </c>
      <c r="M12" s="36">
        <f t="shared" si="3"/>
        <v>28.929402755531047</v>
      </c>
      <c r="N12" s="36">
        <f t="shared" si="3"/>
        <v>29.743189478526926</v>
      </c>
      <c r="O12" s="36">
        <f t="shared" si="3"/>
        <v>32.040665956693751</v>
      </c>
      <c r="P12" s="36">
        <f t="shared" si="3"/>
        <v>32.496531758959932</v>
      </c>
      <c r="Q12" s="36">
        <f t="shared" si="3"/>
        <v>31.961346409391346</v>
      </c>
      <c r="R12" s="24" t="s">
        <v>12</v>
      </c>
      <c r="S12" s="19"/>
      <c r="T12" s="24"/>
      <c r="U12" s="24"/>
      <c r="V12" s="24"/>
      <c r="W12" s="20"/>
    </row>
    <row r="13" spans="1:23" ht="15.75">
      <c r="A13" s="21" t="s">
        <v>13</v>
      </c>
      <c r="B13" s="22">
        <v>15.629767209031709</v>
      </c>
      <c r="C13" s="22">
        <v>13.043836265414024</v>
      </c>
      <c r="D13" s="34">
        <f t="shared" ref="D13:Q13" si="4">D8/D5*100</f>
        <v>12.559575027580319</v>
      </c>
      <c r="E13" s="34">
        <f t="shared" si="4"/>
        <v>11.684954397294147</v>
      </c>
      <c r="F13" s="34">
        <f t="shared" si="4"/>
        <v>11.322832915053667</v>
      </c>
      <c r="G13" s="34">
        <f t="shared" si="4"/>
        <v>11.098980620495508</v>
      </c>
      <c r="H13" s="34">
        <f t="shared" si="4"/>
        <v>10.977287804045453</v>
      </c>
      <c r="I13" s="34">
        <f t="shared" si="4"/>
        <v>11.289032749797318</v>
      </c>
      <c r="J13" s="34">
        <f t="shared" si="4"/>
        <v>10.237745660716007</v>
      </c>
      <c r="K13" s="34">
        <f t="shared" si="4"/>
        <v>9.242310176118238</v>
      </c>
      <c r="L13" s="34">
        <f t="shared" si="4"/>
        <v>9.2097939932169499</v>
      </c>
      <c r="M13" s="34">
        <f t="shared" si="4"/>
        <v>8.5212866737907369</v>
      </c>
      <c r="N13" s="34">
        <f t="shared" si="4"/>
        <v>8.812845880275658</v>
      </c>
      <c r="O13" s="34">
        <f t="shared" si="4"/>
        <v>10.256825667242762</v>
      </c>
      <c r="P13" s="34">
        <f t="shared" si="4"/>
        <v>9.2213860621113319</v>
      </c>
      <c r="Q13" s="34">
        <f t="shared" si="4"/>
        <v>10.129701343056446</v>
      </c>
      <c r="R13" s="24" t="s">
        <v>14</v>
      </c>
      <c r="S13" s="19"/>
      <c r="T13" s="24"/>
      <c r="U13" s="24"/>
      <c r="V13" s="24"/>
      <c r="W13" s="20"/>
    </row>
    <row r="14" spans="1:23" ht="15.75">
      <c r="A14" s="28" t="s">
        <v>18</v>
      </c>
      <c r="B14" s="37">
        <v>1.7713549720462696</v>
      </c>
      <c r="C14" s="37">
        <v>1.9162757927984977</v>
      </c>
      <c r="D14" s="38">
        <f t="shared" ref="D14:Q14" si="5">D9/D5*100</f>
        <v>1.7967393893322434</v>
      </c>
      <c r="E14" s="38">
        <f t="shared" si="5"/>
        <v>1.4877427905284977</v>
      </c>
      <c r="F14" s="38">
        <f t="shared" si="5"/>
        <v>1.3855318518918986</v>
      </c>
      <c r="G14" s="38">
        <f t="shared" si="5"/>
        <v>1.261152731242706</v>
      </c>
      <c r="H14" s="38">
        <f t="shared" si="5"/>
        <v>1.2500408645644998</v>
      </c>
      <c r="I14" s="38">
        <f t="shared" si="5"/>
        <v>0.9129079272946693</v>
      </c>
      <c r="J14" s="38">
        <f t="shared" si="5"/>
        <v>3.3948459924958057</v>
      </c>
      <c r="K14" s="38">
        <f t="shared" si="5"/>
        <v>4.0299759107203945</v>
      </c>
      <c r="L14" s="38">
        <f t="shared" si="5"/>
        <v>4.3144552885484195</v>
      </c>
      <c r="M14" s="38">
        <f t="shared" si="5"/>
        <v>4.6836945436225532</v>
      </c>
      <c r="N14" s="38">
        <f t="shared" si="5"/>
        <v>4.7082259408992853</v>
      </c>
      <c r="O14" s="38">
        <f t="shared" si="5"/>
        <v>4.5342276075287478</v>
      </c>
      <c r="P14" s="38">
        <f t="shared" si="5"/>
        <v>3.9248046512749326</v>
      </c>
      <c r="Q14" s="38">
        <f t="shared" si="5"/>
        <v>3.7500825758284582</v>
      </c>
      <c r="R14" s="39" t="s">
        <v>16</v>
      </c>
      <c r="S14" s="19"/>
      <c r="T14" s="29"/>
      <c r="U14" s="29"/>
      <c r="V14" s="29"/>
      <c r="W14" s="20"/>
    </row>
    <row r="15" spans="1:23" s="20" customFormat="1" ht="15.75">
      <c r="A15" s="16" t="s">
        <v>1</v>
      </c>
      <c r="B15" s="40">
        <v>7.9248571813147315</v>
      </c>
      <c r="C15" s="40">
        <v>4.6027896726949482</v>
      </c>
      <c r="D15" s="41">
        <f t="shared" ref="D15:Q19" si="6">(D5-C5)/C5*100</f>
        <v>8.2600437911709541</v>
      </c>
      <c r="E15" s="41">
        <f t="shared" si="6"/>
        <v>3.6689183122470457</v>
      </c>
      <c r="F15" s="41">
        <f t="shared" si="6"/>
        <v>5.6267999954613499</v>
      </c>
      <c r="G15" s="41">
        <f t="shared" si="6"/>
        <v>3.0357318455201181</v>
      </c>
      <c r="H15" s="41">
        <f t="shared" si="6"/>
        <v>8.9422988618253463</v>
      </c>
      <c r="I15" s="41">
        <f t="shared" si="6"/>
        <v>4.3652055338021603</v>
      </c>
      <c r="J15" s="41">
        <f t="shared" si="6"/>
        <v>12.035214225748746</v>
      </c>
      <c r="K15" s="41">
        <f t="shared" si="6"/>
        <v>4.7035204590935669</v>
      </c>
      <c r="L15" s="41">
        <f t="shared" si="6"/>
        <v>11.76180954485622</v>
      </c>
      <c r="M15" s="41">
        <f>(M5-L5)/L5*100</f>
        <v>-2.0376148515808765</v>
      </c>
      <c r="N15" s="41">
        <f t="shared" si="6"/>
        <v>1.834415754206467</v>
      </c>
      <c r="O15" s="41">
        <f t="shared" si="6"/>
        <v>8.2455840910891123</v>
      </c>
      <c r="P15" s="41">
        <f t="shared" si="6"/>
        <v>1.8334542998243368</v>
      </c>
      <c r="Q15" s="41">
        <f>(Q5-P5)/P5*100</f>
        <v>3.8713600515607149</v>
      </c>
      <c r="R15" s="19" t="s">
        <v>2</v>
      </c>
      <c r="S15" s="19"/>
      <c r="T15" s="19"/>
      <c r="U15" s="19"/>
      <c r="V15" s="19"/>
    </row>
    <row r="16" spans="1:23" ht="15.75">
      <c r="A16" s="21" t="s">
        <v>9</v>
      </c>
      <c r="B16" s="33">
        <v>12.642419505982822</v>
      </c>
      <c r="C16" s="33">
        <v>6.8513462458563712</v>
      </c>
      <c r="D16" s="34">
        <f t="shared" si="6"/>
        <v>9.0672535140873958</v>
      </c>
      <c r="E16" s="34">
        <f t="shared" si="6"/>
        <v>7.4354705518287902</v>
      </c>
      <c r="F16" s="34">
        <f t="shared" si="6"/>
        <v>7.729440233071375</v>
      </c>
      <c r="G16" s="34">
        <f t="shared" si="6"/>
        <v>3.2762464133130331</v>
      </c>
      <c r="H16" s="34">
        <f>(H6-G6)/G6*100</f>
        <v>10.648738519152232</v>
      </c>
      <c r="I16" s="34">
        <f>(I6-H6)/H6*100</f>
        <v>0.46058661813620488</v>
      </c>
      <c r="J16" s="34">
        <f t="shared" si="6"/>
        <v>15.38426638373387</v>
      </c>
      <c r="K16" s="34">
        <f t="shared" si="6"/>
        <v>4.8264746967709184</v>
      </c>
      <c r="L16" s="34">
        <f t="shared" si="6"/>
        <v>13.851181967849671</v>
      </c>
      <c r="M16" s="34">
        <f t="shared" si="6"/>
        <v>6.5087967100021489</v>
      </c>
      <c r="N16" s="34">
        <f t="shared" si="6"/>
        <v>-0.15399127131418389</v>
      </c>
      <c r="O16" s="34">
        <f t="shared" si="6"/>
        <v>1.4392645403032642</v>
      </c>
      <c r="P16" s="34">
        <f t="shared" si="6"/>
        <v>4.1107452970545104</v>
      </c>
      <c r="Q16" s="34">
        <f t="shared" si="6"/>
        <v>10.658257784415531</v>
      </c>
      <c r="R16" s="24" t="s">
        <v>10</v>
      </c>
      <c r="S16" s="19"/>
      <c r="T16" s="24"/>
      <c r="U16" s="24"/>
      <c r="V16" s="24"/>
      <c r="W16" s="20"/>
    </row>
    <row r="17" spans="1:49" ht="18.75" customHeight="1">
      <c r="A17" s="21" t="s">
        <v>11</v>
      </c>
      <c r="B17" s="42">
        <v>6.9122912404791865</v>
      </c>
      <c r="C17" s="42">
        <v>8.8365931364090855</v>
      </c>
      <c r="D17" s="36">
        <f t="shared" si="6"/>
        <v>8.9774044756223201</v>
      </c>
      <c r="E17" s="36">
        <f t="shared" si="6"/>
        <v>1.9927366084278013</v>
      </c>
      <c r="F17" s="36">
        <f t="shared" si="6"/>
        <v>4.0338673244831247</v>
      </c>
      <c r="G17" s="36">
        <f t="shared" si="6"/>
        <v>3.6945507542229445</v>
      </c>
      <c r="H17" s="36">
        <f t="shared" si="6"/>
        <v>6.8767625210241032</v>
      </c>
      <c r="I17" s="36">
        <f>(I7-H7)/H7*100</f>
        <v>10.290747198834525</v>
      </c>
      <c r="J17" s="36">
        <f t="shared" si="6"/>
        <v>3.1476917229538479</v>
      </c>
      <c r="K17" s="36">
        <f t="shared" si="6"/>
        <v>5.6194422649736557</v>
      </c>
      <c r="L17" s="36">
        <f t="shared" si="6"/>
        <v>7.7794311200074153</v>
      </c>
      <c r="M17" s="36">
        <f t="shared" si="6"/>
        <v>-14.775707731799571</v>
      </c>
      <c r="N17" s="36">
        <f t="shared" si="6"/>
        <v>4.6990271042963538</v>
      </c>
      <c r="O17" s="36">
        <f>(O7-N7)/N7*100</f>
        <v>16.606882515195544</v>
      </c>
      <c r="P17" s="36">
        <f>(P7-O7)/O7*100</f>
        <v>3.2823127413021278</v>
      </c>
      <c r="Q17" s="36">
        <f>(Q7-P7)/P7*100</f>
        <v>2.1607027250590463</v>
      </c>
      <c r="R17" s="24" t="s">
        <v>12</v>
      </c>
      <c r="S17" s="19"/>
      <c r="T17" s="24"/>
      <c r="U17" s="24"/>
      <c r="V17" s="24"/>
      <c r="W17" s="20"/>
    </row>
    <row r="18" spans="1:49" ht="18.75" customHeight="1">
      <c r="A18" s="21" t="s">
        <v>13</v>
      </c>
      <c r="B18" s="33">
        <v>-2.0756976724640546</v>
      </c>
      <c r="C18" s="33">
        <v>-12.703647907965083</v>
      </c>
      <c r="D18" s="34">
        <f t="shared" si="6"/>
        <v>4.2408164912045754</v>
      </c>
      <c r="E18" s="34">
        <f t="shared" si="6"/>
        <v>-3.5503526006806165</v>
      </c>
      <c r="F18" s="34">
        <f t="shared" si="6"/>
        <v>2.3533825666751036</v>
      </c>
      <c r="G18" s="34">
        <f t="shared" si="6"/>
        <v>0.99871644768322754</v>
      </c>
      <c r="H18" s="34">
        <f t="shared" si="6"/>
        <v>7.7478202306474691</v>
      </c>
      <c r="I18" s="34">
        <f>(I8-H8)/H8*100</f>
        <v>7.3290820321050516</v>
      </c>
      <c r="J18" s="34">
        <f t="shared" si="6"/>
        <v>1.6019754489276703</v>
      </c>
      <c r="K18" s="34">
        <f t="shared" si="6"/>
        <v>-5.4770019997932433</v>
      </c>
      <c r="L18" s="34">
        <f t="shared" si="6"/>
        <v>11.368610510059735</v>
      </c>
      <c r="M18" s="34">
        <f t="shared" si="6"/>
        <v>-9.3611032219843615</v>
      </c>
      <c r="N18" s="34">
        <f t="shared" si="6"/>
        <v>5.3187207173845019</v>
      </c>
      <c r="O18" s="34">
        <f t="shared" si="6"/>
        <v>25.981561501724531</v>
      </c>
      <c r="P18" s="34">
        <f t="shared" si="6"/>
        <v>-8.4467625167811224</v>
      </c>
      <c r="Q18" s="34">
        <f t="shared" si="6"/>
        <v>14.102787621331345</v>
      </c>
      <c r="R18" s="24" t="s">
        <v>14</v>
      </c>
      <c r="S18" s="24"/>
      <c r="T18" s="24"/>
      <c r="U18" s="24"/>
      <c r="V18" s="24"/>
      <c r="W18" s="20"/>
    </row>
    <row r="19" spans="1:49" ht="18.75" customHeight="1">
      <c r="A19" s="43" t="s">
        <v>18</v>
      </c>
      <c r="B19" s="44">
        <v>4.2421343176365767</v>
      </c>
      <c r="C19" s="44">
        <v>13.160714183346714</v>
      </c>
      <c r="D19" s="45">
        <f t="shared" si="6"/>
        <v>1.5068320026961224</v>
      </c>
      <c r="E19" s="45">
        <f t="shared" si="6"/>
        <v>-14.159679062719416</v>
      </c>
      <c r="F19" s="45">
        <f t="shared" si="6"/>
        <v>-1.6299747921222179</v>
      </c>
      <c r="G19" s="45">
        <f t="shared" si="6"/>
        <v>-6.2137803218780334</v>
      </c>
      <c r="H19" s="45">
        <f t="shared" si="6"/>
        <v>7.9824212271973494</v>
      </c>
      <c r="I19" s="45">
        <f>(I9-H9)/H9*100</f>
        <v>-23.781832925327208</v>
      </c>
      <c r="J19" s="45">
        <f t="shared" si="6"/>
        <v>316.627226756379</v>
      </c>
      <c r="K19" s="45">
        <f t="shared" si="6"/>
        <v>24.292137596367979</v>
      </c>
      <c r="L19" s="45">
        <f t="shared" si="6"/>
        <v>19.651169369483934</v>
      </c>
      <c r="M19" s="45">
        <f t="shared" si="6"/>
        <v>6.3461916079495886</v>
      </c>
      <c r="N19" s="45">
        <f t="shared" si="6"/>
        <v>2.3677854020439595</v>
      </c>
      <c r="O19" s="45">
        <f t="shared" si="6"/>
        <v>4.2452341794677535</v>
      </c>
      <c r="P19" s="45">
        <f t="shared" si="6"/>
        <v>-11.85347325138447</v>
      </c>
      <c r="Q19" s="45">
        <f t="shared" si="6"/>
        <v>-0.75272222009101508</v>
      </c>
      <c r="R19" s="46" t="s">
        <v>16</v>
      </c>
      <c r="S19" s="29"/>
      <c r="T19" s="29"/>
      <c r="U19" s="29"/>
      <c r="V19" s="29"/>
      <c r="W19" s="20"/>
    </row>
    <row r="20" spans="1:49" ht="18.75" customHeight="1">
      <c r="A20" s="47" t="s">
        <v>19</v>
      </c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50"/>
      <c r="P20" s="50"/>
      <c r="Q20" s="50"/>
      <c r="R20" s="1"/>
      <c r="S20" s="1"/>
      <c r="T20" s="1"/>
      <c r="U20" s="1"/>
      <c r="V20" s="1"/>
      <c r="W20" s="20"/>
    </row>
    <row r="21" spans="1:49" ht="15.75" customHeight="1">
      <c r="A21" s="51" t="s">
        <v>20</v>
      </c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2"/>
      <c r="O21" s="2"/>
      <c r="P21" s="2"/>
      <c r="Q21" s="2"/>
      <c r="R21" s="54" t="s">
        <v>21</v>
      </c>
      <c r="S21" s="54"/>
      <c r="T21" s="54"/>
      <c r="U21" s="54"/>
      <c r="V21" s="54"/>
    </row>
    <row r="22" spans="1:49" ht="15">
      <c r="A22" s="55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49">
      <c r="W23" s="59"/>
    </row>
    <row r="24" spans="1:49" s="15" customFormat="1" ht="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</row>
    <row r="25" spans="1:49" s="15" customFormat="1" ht="1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</row>
    <row r="26" spans="1:49" s="15" customFormat="1" ht="1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4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</row>
    <row r="27" spans="1:49" s="15" customFormat="1" ht="15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</row>
    <row r="28" spans="1:49" s="15" customFormat="1" ht="1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49" s="15" customFormat="1" ht="1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49" s="15" customFormat="1" ht="1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K30" s="63"/>
    </row>
    <row r="31" spans="1:49" s="15" customFormat="1" ht="1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18"/>
      <c r="AQ31" s="63"/>
      <c r="AR31" s="63"/>
      <c r="AS31" s="63"/>
      <c r="AT31" s="63"/>
      <c r="AU31" s="63"/>
      <c r="AV31" s="63"/>
      <c r="AW31" s="63"/>
    </row>
    <row r="32" spans="1:49" s="15" customFormat="1" ht="15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AG32" s="68"/>
      <c r="AH32" s="68"/>
      <c r="AI32" s="68"/>
      <c r="AJ32" s="68"/>
      <c r="AK32" s="68"/>
      <c r="AL32" s="69"/>
      <c r="AM32" s="69"/>
      <c r="AN32" s="69"/>
    </row>
    <row r="33" spans="1:40" s="15" customFormat="1" ht="15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</row>
    <row r="34" spans="1:40" s="15" customFormat="1" ht="15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AN34" s="70"/>
    </row>
    <row r="35" spans="1:40" s="15" customFormat="1" ht="15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1:40" s="15" customFormat="1" ht="15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1:40" s="15" customFormat="1" ht="15">
      <c r="A37" s="7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</row>
    <row r="38" spans="1:40" s="15" customFormat="1" ht="15">
      <c r="A38" s="7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</row>
    <row r="39" spans="1:40" s="15" customFormat="1" ht="15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1:40" s="15" customFormat="1" ht="12">
      <c r="A40" s="60"/>
    </row>
    <row r="41" spans="1:40" s="15" customFormat="1" ht="12">
      <c r="A41" s="60"/>
    </row>
    <row r="42" spans="1:40" s="15" customFormat="1" ht="12">
      <c r="A42" s="60"/>
    </row>
    <row r="43" spans="1:40" s="15" customFormat="1" ht="12">
      <c r="A43" s="60"/>
    </row>
    <row r="44" spans="1:40" s="15" customFormat="1" ht="12">
      <c r="A44" s="60"/>
    </row>
    <row r="45" spans="1:40" s="15" customFormat="1" ht="12">
      <c r="A45" s="60"/>
    </row>
    <row r="46" spans="1:40" s="15" customFormat="1" ht="12">
      <c r="A46" s="60"/>
    </row>
  </sheetData>
  <mergeCells count="2">
    <mergeCell ref="A1:R1"/>
    <mergeCell ref="A2:R2"/>
  </mergeCells>
  <pageMargins left="0.7" right="0.7" top="0.75" bottom="0.75" header="0.3" footer="0.3"/>
  <pageSetup scale="35" orientation="portrait" r:id="rId1"/>
  <colBreaks count="1" manualBreakCount="1">
    <brk id="19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12.1</vt:lpstr>
      <vt:lpstr>'12.1'!Print_Area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2025-07-22T03:11:39Z</cp:lastPrinted>
  <dcterms:created xsi:type="dcterms:W3CDTF">2019-05-21T05:57:00Z</dcterms:created>
  <dcterms:modified xsi:type="dcterms:W3CDTF">2025-07-22T03:12:14Z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